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nhclfserver\common\_COMMUNICATIONS LIBRARY\2024 MarCom Files\Files for Website - Rebranded\Childcare\"/>
    </mc:Choice>
  </mc:AlternateContent>
  <xr:revisionPtr revIDLastSave="0" documentId="8_{50C5F036-42E5-41B8-8556-D268A4A3EAB7}" xr6:coauthVersionLast="47" xr6:coauthVersionMax="47" xr10:uidLastSave="{00000000-0000-0000-0000-000000000000}"/>
  <bookViews>
    <workbookView xWindow="-110" yWindow="-110" windowWidth="19420" windowHeight="10420" activeTab="5" xr2:uid="{485CFB96-2439-4370-8FFF-2F02C6660A0A}"/>
  </bookViews>
  <sheets>
    <sheet name="Instructions" sheetId="5" r:id="rId1"/>
    <sheet name="Staff" sheetId="3" r:id="rId2"/>
    <sheet name="Indirect Costs" sheetId="1" r:id="rId3"/>
    <sheet name="Direct Costs By Group" sheetId="2" r:id="rId4"/>
    <sheet name="Tuition" sheetId="6" r:id="rId5"/>
    <sheet name="Output"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2" l="1"/>
  <c r="H6" i="2"/>
  <c r="G6" i="2"/>
  <c r="F6" i="2"/>
  <c r="E6" i="2"/>
  <c r="D6" i="2"/>
  <c r="C6" i="2"/>
  <c r="K2" i="4"/>
  <c r="L2" i="4"/>
  <c r="D12" i="6" l="1"/>
  <c r="H7" i="3"/>
  <c r="H9" i="3"/>
  <c r="H10" i="3"/>
  <c r="H11" i="3"/>
  <c r="F7" i="3"/>
  <c r="F9" i="3"/>
  <c r="F10" i="3"/>
  <c r="F11" i="3"/>
  <c r="I2" i="3"/>
  <c r="I34" i="6" l="1"/>
  <c r="J34" i="6" s="1"/>
  <c r="I33" i="6"/>
  <c r="J33" i="6" s="1"/>
  <c r="I32" i="6"/>
  <c r="J32" i="6" s="1"/>
  <c r="I31" i="6"/>
  <c r="J31" i="6" s="1"/>
  <c r="I30" i="6"/>
  <c r="J30" i="6" s="1"/>
  <c r="I29" i="6"/>
  <c r="J29" i="6" s="1"/>
  <c r="I28" i="6"/>
  <c r="J28" i="6" s="1"/>
  <c r="H31" i="6"/>
  <c r="G34" i="6"/>
  <c r="H34" i="6" s="1"/>
  <c r="G33" i="6"/>
  <c r="H33" i="6" s="1"/>
  <c r="G32" i="6"/>
  <c r="H32" i="6" s="1"/>
  <c r="G31" i="6"/>
  <c r="G30" i="6"/>
  <c r="H30" i="6" s="1"/>
  <c r="G29" i="6"/>
  <c r="H29" i="6" s="1"/>
  <c r="G28" i="6"/>
  <c r="H28" i="6" s="1"/>
  <c r="K30" i="6" l="1"/>
  <c r="K29" i="6"/>
  <c r="K31" i="6"/>
  <c r="K32" i="6"/>
  <c r="H35" i="6"/>
  <c r="K33" i="6"/>
  <c r="K34" i="6"/>
  <c r="G35" i="6"/>
  <c r="J35" i="6"/>
  <c r="K28" i="6"/>
  <c r="I35" i="6"/>
  <c r="B11" i="6"/>
  <c r="B10" i="6"/>
  <c r="M65" i="3"/>
  <c r="J6" i="2"/>
  <c r="C12" i="4" l="1"/>
  <c r="F7" i="2"/>
  <c r="F12" i="2" s="1"/>
  <c r="F15" i="2" l="1"/>
  <c r="F14" i="2"/>
  <c r="F18" i="2"/>
  <c r="I7" i="2"/>
  <c r="I20" i="2" s="1"/>
  <c r="F19" i="2"/>
  <c r="F11" i="2"/>
  <c r="G7" i="2"/>
  <c r="G18" i="2" s="1"/>
  <c r="H7" i="2"/>
  <c r="H11" i="2" s="1"/>
  <c r="F20" i="2"/>
  <c r="F16" i="2"/>
  <c r="F10" i="2"/>
  <c r="C7" i="2"/>
  <c r="E7" i="2"/>
  <c r="F13" i="2"/>
  <c r="D7" i="2"/>
  <c r="D19" i="2" s="1"/>
  <c r="F17" i="2"/>
  <c r="F21" i="2" l="1"/>
  <c r="F25" i="2" s="1"/>
  <c r="I16" i="2"/>
  <c r="I12" i="2"/>
  <c r="I10" i="2"/>
  <c r="I14" i="2"/>
  <c r="I19" i="2"/>
  <c r="I11" i="2"/>
  <c r="I18" i="2"/>
  <c r="I15" i="2"/>
  <c r="I17" i="2"/>
  <c r="E10" i="2"/>
  <c r="I13" i="2"/>
  <c r="G17" i="2"/>
  <c r="E11" i="2"/>
  <c r="D11" i="2"/>
  <c r="E17" i="2"/>
  <c r="G10" i="2"/>
  <c r="E20" i="2"/>
  <c r="E13" i="2"/>
  <c r="D15" i="2"/>
  <c r="D18" i="2"/>
  <c r="H18" i="2"/>
  <c r="H14" i="2"/>
  <c r="D14" i="2"/>
  <c r="D17" i="2"/>
  <c r="G13" i="2"/>
  <c r="E16" i="2"/>
  <c r="H16" i="2"/>
  <c r="H19" i="2"/>
  <c r="H13" i="2"/>
  <c r="D20" i="2"/>
  <c r="G12" i="2"/>
  <c r="E18" i="2"/>
  <c r="H10" i="2"/>
  <c r="H20" i="2"/>
  <c r="D13" i="2"/>
  <c r="D16" i="2"/>
  <c r="G14" i="2"/>
  <c r="H15" i="2"/>
  <c r="H12" i="2"/>
  <c r="D10" i="2"/>
  <c r="H17" i="2"/>
  <c r="D12" i="2"/>
  <c r="G20" i="2"/>
  <c r="E14" i="2"/>
  <c r="G16" i="2"/>
  <c r="G19" i="2"/>
  <c r="G15" i="2"/>
  <c r="E15" i="2"/>
  <c r="C18" i="2"/>
  <c r="C17" i="2"/>
  <c r="C19" i="2"/>
  <c r="C15" i="2"/>
  <c r="C11" i="2"/>
  <c r="C14" i="2"/>
  <c r="C10" i="2"/>
  <c r="C12" i="2"/>
  <c r="C16" i="2"/>
  <c r="C20" i="2"/>
  <c r="C13" i="2"/>
  <c r="J7" i="2"/>
  <c r="G11" i="2"/>
  <c r="E19" i="2"/>
  <c r="E12" i="2"/>
  <c r="D21" i="2" l="1"/>
  <c r="D25" i="2" s="1"/>
  <c r="H21" i="2"/>
  <c r="C21" i="2"/>
  <c r="C25" i="2" s="1"/>
  <c r="G21" i="2"/>
  <c r="G25" i="2" s="1"/>
  <c r="I21" i="2"/>
  <c r="E21" i="2"/>
  <c r="E25" i="2" s="1"/>
  <c r="L61" i="3"/>
  <c r="L60" i="3"/>
  <c r="L59" i="3"/>
  <c r="L58" i="3"/>
  <c r="L54" i="3"/>
  <c r="L53" i="3"/>
  <c r="L52" i="3"/>
  <c r="L51" i="3"/>
  <c r="L47" i="3"/>
  <c r="L46" i="3"/>
  <c r="L45" i="3"/>
  <c r="L44" i="3"/>
  <c r="L40" i="3"/>
  <c r="L39" i="3"/>
  <c r="L38" i="3"/>
  <c r="L37" i="3"/>
  <c r="L33" i="3"/>
  <c r="L32" i="3"/>
  <c r="L31" i="3"/>
  <c r="L30" i="3"/>
  <c r="L26" i="3"/>
  <c r="L25" i="3"/>
  <c r="L24" i="3"/>
  <c r="L23" i="3"/>
  <c r="L19" i="3"/>
  <c r="L18" i="3"/>
  <c r="L17" i="3"/>
  <c r="L7" i="3"/>
  <c r="L9" i="3"/>
  <c r="L10" i="3"/>
  <c r="L11" i="3"/>
  <c r="O10" i="4"/>
  <c r="O11" i="4"/>
  <c r="F12" i="6" l="1"/>
  <c r="L23" i="6"/>
  <c r="J23" i="6"/>
  <c r="H23" i="6"/>
  <c r="F23" i="6"/>
  <c r="D23" i="6"/>
  <c r="L12" i="6"/>
  <c r="J12" i="6"/>
  <c r="H12" i="6"/>
  <c r="B8" i="4" l="1"/>
  <c r="B7" i="4"/>
  <c r="B5" i="4"/>
  <c r="E5" i="4" s="1"/>
  <c r="B6" i="4"/>
  <c r="O6" i="4"/>
  <c r="O7" i="4" l="1"/>
  <c r="O5" i="4"/>
  <c r="O8" i="4"/>
  <c r="B9" i="4"/>
  <c r="O9" i="4"/>
  <c r="B10" i="4"/>
  <c r="D10" i="4" s="1"/>
  <c r="D33" i="6"/>
  <c r="E33" i="6" s="1"/>
  <c r="G10" i="4" s="1"/>
  <c r="B11" i="4"/>
  <c r="D11" i="4" s="1"/>
  <c r="D34" i="6"/>
  <c r="E34" i="6" s="1"/>
  <c r="G11" i="4" s="1"/>
  <c r="K35" i="6"/>
  <c r="B31" i="6"/>
  <c r="B34" i="6"/>
  <c r="C34" i="6" s="1"/>
  <c r="J11" i="4" s="1"/>
  <c r="L11" i="4" s="1"/>
  <c r="B29" i="6"/>
  <c r="B12" i="4" l="1"/>
  <c r="O12" i="4" s="1"/>
  <c r="E10" i="4"/>
  <c r="F10" i="4" s="1"/>
  <c r="I10" i="4" s="1"/>
  <c r="K10" i="4" s="1"/>
  <c r="E11" i="4"/>
  <c r="N11" i="4"/>
  <c r="C29" i="6"/>
  <c r="J6" i="4" s="1"/>
  <c r="L6" i="4" s="1"/>
  <c r="D29" i="6"/>
  <c r="E29" i="6" s="1"/>
  <c r="G6" i="4" s="1"/>
  <c r="C31" i="6"/>
  <c r="J8" i="4" s="1"/>
  <c r="L8" i="4" s="1"/>
  <c r="D31" i="6"/>
  <c r="E31" i="6" s="1"/>
  <c r="G8" i="4" s="1"/>
  <c r="N10" i="4"/>
  <c r="B30" i="6"/>
  <c r="B28" i="6"/>
  <c r="B33" i="6"/>
  <c r="C33" i="6" s="1"/>
  <c r="J10" i="4" s="1"/>
  <c r="L10" i="4" s="1"/>
  <c r="B32" i="6"/>
  <c r="B12" i="6"/>
  <c r="M10" i="4" l="1"/>
  <c r="C32" i="6"/>
  <c r="J9" i="4" s="1"/>
  <c r="L9" i="4" s="1"/>
  <c r="D32" i="6"/>
  <c r="E32" i="6" s="1"/>
  <c r="G9" i="4" s="1"/>
  <c r="C28" i="6"/>
  <c r="J5" i="4" s="1"/>
  <c r="D28" i="6"/>
  <c r="C30" i="6"/>
  <c r="J7" i="4" s="1"/>
  <c r="L7" i="4" s="1"/>
  <c r="D30" i="6"/>
  <c r="E30" i="6" s="1"/>
  <c r="G7" i="4" s="1"/>
  <c r="H10" i="4"/>
  <c r="B35" i="6"/>
  <c r="A11" i="6"/>
  <c r="A22" i="6" s="1"/>
  <c r="A10" i="6"/>
  <c r="A21" i="6" s="1"/>
  <c r="A9" i="6"/>
  <c r="A20" i="6" s="1"/>
  <c r="A8" i="6"/>
  <c r="A19" i="6" s="1"/>
  <c r="A7" i="6"/>
  <c r="A18" i="6" s="1"/>
  <c r="A6" i="6"/>
  <c r="A17" i="6" s="1"/>
  <c r="A5" i="6"/>
  <c r="A16" i="6" s="1"/>
  <c r="L5" i="4" l="1"/>
  <c r="C35" i="6"/>
  <c r="E28" i="6"/>
  <c r="G5" i="4" s="1"/>
  <c r="D35" i="6"/>
  <c r="E35" i="6" s="1"/>
  <c r="A29" i="6"/>
  <c r="A6" i="4"/>
  <c r="A7" i="4"/>
  <c r="A30" i="6"/>
  <c r="A34" i="6"/>
  <c r="A11" i="4"/>
  <c r="A8" i="4"/>
  <c r="A31" i="6"/>
  <c r="A9" i="4"/>
  <c r="A32" i="6"/>
  <c r="A28" i="6"/>
  <c r="A5" i="4"/>
  <c r="A33" i="6"/>
  <c r="A10" i="4"/>
  <c r="I5" i="2"/>
  <c r="H5" i="2"/>
  <c r="G5" i="2"/>
  <c r="F5" i="2"/>
  <c r="E5" i="2"/>
  <c r="D5" i="2"/>
  <c r="C5" i="2"/>
  <c r="C8" i="1"/>
  <c r="C9" i="1"/>
  <c r="C10" i="1"/>
  <c r="C11" i="1"/>
  <c r="C12" i="1"/>
  <c r="C13" i="1"/>
  <c r="C14" i="1"/>
  <c r="C15" i="1"/>
  <c r="C16" i="1"/>
  <c r="C17" i="1"/>
  <c r="C18" i="1"/>
  <c r="C19" i="1"/>
  <c r="C20" i="1"/>
  <c r="C21" i="1"/>
  <c r="C22" i="1"/>
  <c r="C23" i="1"/>
  <c r="C24" i="1"/>
  <c r="C25" i="1"/>
  <c r="C26" i="1"/>
  <c r="C27" i="1"/>
  <c r="C28" i="1"/>
  <c r="C29" i="1"/>
  <c r="C30" i="1"/>
  <c r="C7" i="1"/>
  <c r="M64" i="3"/>
  <c r="M12" i="3"/>
  <c r="E61" i="3"/>
  <c r="H61" i="3" s="1"/>
  <c r="I61" i="3" s="1"/>
  <c r="E60" i="3"/>
  <c r="H60" i="3" s="1"/>
  <c r="I60" i="3" s="1"/>
  <c r="E59" i="3"/>
  <c r="H59" i="3" s="1"/>
  <c r="I59" i="3" s="1"/>
  <c r="E58" i="3"/>
  <c r="H58" i="3" s="1"/>
  <c r="I58" i="3" s="1"/>
  <c r="E54" i="3"/>
  <c r="H54" i="3" s="1"/>
  <c r="I54" i="3" s="1"/>
  <c r="E53" i="3"/>
  <c r="H53" i="3" s="1"/>
  <c r="I53" i="3" s="1"/>
  <c r="E52" i="3"/>
  <c r="H52" i="3" s="1"/>
  <c r="I52" i="3" s="1"/>
  <c r="E51" i="3"/>
  <c r="H51" i="3" s="1"/>
  <c r="I51" i="3" s="1"/>
  <c r="E47" i="3"/>
  <c r="H47" i="3" s="1"/>
  <c r="I47" i="3" s="1"/>
  <c r="E46" i="3"/>
  <c r="H46" i="3" s="1"/>
  <c r="I46" i="3" s="1"/>
  <c r="E45" i="3"/>
  <c r="H45" i="3" s="1"/>
  <c r="I45" i="3" s="1"/>
  <c r="E44" i="3"/>
  <c r="H44" i="3" s="1"/>
  <c r="I44" i="3" s="1"/>
  <c r="E40" i="3"/>
  <c r="H40" i="3" s="1"/>
  <c r="I40" i="3" s="1"/>
  <c r="E39" i="3"/>
  <c r="H39" i="3" s="1"/>
  <c r="I39" i="3" s="1"/>
  <c r="E38" i="3"/>
  <c r="H38" i="3" s="1"/>
  <c r="I38" i="3" s="1"/>
  <c r="E37" i="3"/>
  <c r="H37" i="3" s="1"/>
  <c r="I37" i="3" s="1"/>
  <c r="E33" i="3"/>
  <c r="H33" i="3" s="1"/>
  <c r="I33" i="3" s="1"/>
  <c r="E32" i="3"/>
  <c r="H32" i="3" s="1"/>
  <c r="I32" i="3" s="1"/>
  <c r="E31" i="3"/>
  <c r="H31" i="3" s="1"/>
  <c r="I31" i="3" s="1"/>
  <c r="E30" i="3"/>
  <c r="H30" i="3" s="1"/>
  <c r="I30" i="3" s="1"/>
  <c r="E26" i="3"/>
  <c r="H26" i="3" s="1"/>
  <c r="I26" i="3" s="1"/>
  <c r="E25" i="3"/>
  <c r="H25" i="3" s="1"/>
  <c r="I25" i="3" s="1"/>
  <c r="E24" i="3"/>
  <c r="H24" i="3" s="1"/>
  <c r="I24" i="3" s="1"/>
  <c r="E23" i="3"/>
  <c r="H23" i="3" s="1"/>
  <c r="I23" i="3" s="1"/>
  <c r="E19" i="3"/>
  <c r="H19" i="3" s="1"/>
  <c r="I19" i="3" s="1"/>
  <c r="E18" i="3"/>
  <c r="H18" i="3" s="1"/>
  <c r="I18" i="3" s="1"/>
  <c r="E17" i="3"/>
  <c r="H17" i="3" s="1"/>
  <c r="I17" i="3" s="1"/>
  <c r="E16" i="3"/>
  <c r="H16" i="3" s="1"/>
  <c r="I16" i="3" s="1"/>
  <c r="E6" i="3"/>
  <c r="E7" i="3"/>
  <c r="K7" i="3" s="1"/>
  <c r="E8" i="3"/>
  <c r="E9" i="3"/>
  <c r="K9" i="3" s="1"/>
  <c r="E10" i="3"/>
  <c r="K10" i="3" s="1"/>
  <c r="E11" i="3"/>
  <c r="K11" i="3" s="1"/>
  <c r="K8" i="3" l="1"/>
  <c r="L8" i="3" s="1"/>
  <c r="F8" i="3"/>
  <c r="G8" i="3" s="1"/>
  <c r="H8" i="3"/>
  <c r="I8" i="3" s="1"/>
  <c r="K6" i="3"/>
  <c r="L6" i="3" s="1"/>
  <c r="H6" i="3"/>
  <c r="F6" i="3"/>
  <c r="L12" i="4"/>
  <c r="K25" i="3"/>
  <c r="I9" i="3"/>
  <c r="K24" i="3"/>
  <c r="K26" i="3"/>
  <c r="F26" i="3"/>
  <c r="G26" i="3" s="1"/>
  <c r="J26" i="3" s="1"/>
  <c r="K23" i="3"/>
  <c r="E64" i="3"/>
  <c r="I11" i="3"/>
  <c r="I7" i="3"/>
  <c r="I10" i="3"/>
  <c r="E12" i="3"/>
  <c r="E65" i="3" s="1"/>
  <c r="K58" i="3"/>
  <c r="K59" i="3"/>
  <c r="K60" i="3"/>
  <c r="K61" i="3"/>
  <c r="F58" i="3"/>
  <c r="F59" i="3"/>
  <c r="G59" i="3" s="1"/>
  <c r="J59" i="3" s="1"/>
  <c r="F60" i="3"/>
  <c r="G60" i="3" s="1"/>
  <c r="J60" i="3" s="1"/>
  <c r="F61" i="3"/>
  <c r="G61" i="3" s="1"/>
  <c r="J61" i="3" s="1"/>
  <c r="K51" i="3"/>
  <c r="K54" i="3"/>
  <c r="F54" i="3"/>
  <c r="G54" i="3" s="1"/>
  <c r="J54" i="3" s="1"/>
  <c r="K52" i="3"/>
  <c r="F53" i="3"/>
  <c r="G53" i="3" s="1"/>
  <c r="J53" i="3" s="1"/>
  <c r="K53" i="3"/>
  <c r="F51" i="3"/>
  <c r="G51" i="3" s="1"/>
  <c r="J51" i="3" s="1"/>
  <c r="F52" i="3"/>
  <c r="G52" i="3" s="1"/>
  <c r="J52" i="3" s="1"/>
  <c r="K44" i="3"/>
  <c r="K45" i="3"/>
  <c r="K46" i="3"/>
  <c r="K47" i="3"/>
  <c r="F44" i="3"/>
  <c r="G44" i="3" s="1"/>
  <c r="J44" i="3" s="1"/>
  <c r="F45" i="3"/>
  <c r="G45" i="3" s="1"/>
  <c r="J45" i="3" s="1"/>
  <c r="F46" i="3"/>
  <c r="G46" i="3" s="1"/>
  <c r="J46" i="3" s="1"/>
  <c r="F47" i="3"/>
  <c r="G47" i="3" s="1"/>
  <c r="J47" i="3" s="1"/>
  <c r="K37" i="3"/>
  <c r="K38" i="3"/>
  <c r="K39" i="3"/>
  <c r="K40" i="3"/>
  <c r="F37" i="3"/>
  <c r="G37" i="3" s="1"/>
  <c r="J37" i="3" s="1"/>
  <c r="F38" i="3"/>
  <c r="G38" i="3" s="1"/>
  <c r="J38" i="3" s="1"/>
  <c r="F39" i="3"/>
  <c r="G39" i="3" s="1"/>
  <c r="J39" i="3" s="1"/>
  <c r="F40" i="3"/>
  <c r="G40" i="3" s="1"/>
  <c r="J40" i="3" s="1"/>
  <c r="K30" i="3"/>
  <c r="K31" i="3"/>
  <c r="K32" i="3"/>
  <c r="K33" i="3"/>
  <c r="F30" i="3"/>
  <c r="G30" i="3" s="1"/>
  <c r="J30" i="3" s="1"/>
  <c r="F31" i="3"/>
  <c r="G31" i="3" s="1"/>
  <c r="J31" i="3" s="1"/>
  <c r="F32" i="3"/>
  <c r="G32" i="3" s="1"/>
  <c r="J32" i="3" s="1"/>
  <c r="F33" i="3"/>
  <c r="G33" i="3" s="1"/>
  <c r="J33" i="3" s="1"/>
  <c r="F23" i="3"/>
  <c r="G23" i="3" s="1"/>
  <c r="J23" i="3" s="1"/>
  <c r="F24" i="3"/>
  <c r="G24" i="3" s="1"/>
  <c r="J24" i="3" s="1"/>
  <c r="F25" i="3"/>
  <c r="G25" i="3" s="1"/>
  <c r="J25" i="3" s="1"/>
  <c r="K19" i="3"/>
  <c r="K16" i="3"/>
  <c r="L16" i="3" s="1"/>
  <c r="F19" i="3"/>
  <c r="G19" i="3" s="1"/>
  <c r="J19" i="3" s="1"/>
  <c r="K18" i="3"/>
  <c r="F16" i="3"/>
  <c r="F17" i="3"/>
  <c r="G17" i="3" s="1"/>
  <c r="J17" i="3" s="1"/>
  <c r="K17" i="3"/>
  <c r="F18" i="3"/>
  <c r="G18" i="3" s="1"/>
  <c r="J18" i="3" s="1"/>
  <c r="G11" i="3"/>
  <c r="G10" i="3"/>
  <c r="G9" i="3"/>
  <c r="G7" i="3"/>
  <c r="L12" i="3" l="1"/>
  <c r="J8" i="3"/>
  <c r="N8" i="3" s="1"/>
  <c r="K12" i="3"/>
  <c r="J9" i="3"/>
  <c r="N9" i="3" s="1"/>
  <c r="J11" i="3"/>
  <c r="N11" i="3" s="1"/>
  <c r="N26" i="3"/>
  <c r="J10" i="3"/>
  <c r="N10" i="3" s="1"/>
  <c r="N24" i="3"/>
  <c r="N23" i="3"/>
  <c r="N25" i="3"/>
  <c r="J7" i="3"/>
  <c r="N7" i="3" s="1"/>
  <c r="G16" i="3"/>
  <c r="G58" i="3"/>
  <c r="J58" i="3" s="1"/>
  <c r="K64" i="3"/>
  <c r="F12" i="3"/>
  <c r="I6" i="3"/>
  <c r="I12" i="3" s="1"/>
  <c r="H12" i="3"/>
  <c r="N60" i="3"/>
  <c r="N59" i="3"/>
  <c r="N61" i="3"/>
  <c r="N53" i="3"/>
  <c r="N52" i="3"/>
  <c r="N54" i="3"/>
  <c r="N51" i="3"/>
  <c r="N45" i="3"/>
  <c r="N46" i="3"/>
  <c r="N44" i="3"/>
  <c r="N47" i="3"/>
  <c r="N39" i="3"/>
  <c r="N37" i="3"/>
  <c r="N38" i="3"/>
  <c r="N40" i="3"/>
  <c r="N32" i="3"/>
  <c r="N31" i="3"/>
  <c r="N33" i="3"/>
  <c r="N30" i="3"/>
  <c r="N17" i="3"/>
  <c r="N19" i="3"/>
  <c r="N18" i="3"/>
  <c r="G6" i="3"/>
  <c r="K65" i="3" l="1"/>
  <c r="N12" i="3"/>
  <c r="B6" i="1" s="1"/>
  <c r="B31" i="1" s="1"/>
  <c r="N55" i="3"/>
  <c r="N48" i="3"/>
  <c r="N41" i="3"/>
  <c r="N34" i="3"/>
  <c r="N27" i="3"/>
  <c r="D22" i="2"/>
  <c r="H22" i="2"/>
  <c r="H25" i="2" s="1"/>
  <c r="F22" i="2"/>
  <c r="G12" i="3"/>
  <c r="J6" i="3"/>
  <c r="G22" i="2"/>
  <c r="E22" i="2"/>
  <c r="N58" i="3"/>
  <c r="J16" i="3"/>
  <c r="L64" i="3"/>
  <c r="L65" i="3" s="1"/>
  <c r="C6" i="1" l="1"/>
  <c r="C31" i="1" s="1"/>
  <c r="D5" i="4"/>
  <c r="D7" i="4"/>
  <c r="D6" i="4"/>
  <c r="D8" i="4"/>
  <c r="D9" i="4"/>
  <c r="I22" i="2"/>
  <c r="I25" i="2" s="1"/>
  <c r="F11" i="4" s="1"/>
  <c r="I11" i="4" s="1"/>
  <c r="K11" i="4" s="1"/>
  <c r="M11" i="4" s="1"/>
  <c r="N62" i="3"/>
  <c r="E8" i="4"/>
  <c r="E6" i="4"/>
  <c r="E7" i="4"/>
  <c r="E9" i="4"/>
  <c r="J64" i="3"/>
  <c r="N64" i="3" s="1"/>
  <c r="N65" i="3" s="1"/>
  <c r="N16" i="3"/>
  <c r="J12" i="3"/>
  <c r="J65" i="3" s="1"/>
  <c r="N6" i="3"/>
  <c r="H11" i="4" l="1"/>
  <c r="F7" i="4"/>
  <c r="F8" i="4"/>
  <c r="F9" i="4"/>
  <c r="F6" i="4"/>
  <c r="C22" i="2"/>
  <c r="N20" i="3"/>
  <c r="I6" i="4" l="1"/>
  <c r="H6" i="4"/>
  <c r="I8" i="4"/>
  <c r="K8" i="4" s="1"/>
  <c r="H8" i="4"/>
  <c r="I9" i="4"/>
  <c r="K9" i="4" s="1"/>
  <c r="H9" i="4"/>
  <c r="I7" i="4"/>
  <c r="H7" i="4"/>
  <c r="N9" i="4" l="1"/>
  <c r="M9" i="4"/>
  <c r="N8" i="4"/>
  <c r="M8" i="4"/>
  <c r="N7" i="4"/>
  <c r="K7" i="4"/>
  <c r="M7" i="4" s="1"/>
  <c r="N6" i="4"/>
  <c r="K6" i="4"/>
  <c r="M6" i="4" s="1"/>
  <c r="F5" i="4"/>
  <c r="I5" i="4" l="1"/>
  <c r="H5" i="4"/>
  <c r="N5" i="4" l="1"/>
  <c r="K5" i="4"/>
  <c r="K12" i="4" l="1"/>
  <c r="M5" i="4"/>
  <c r="M12" i="4" s="1"/>
</calcChain>
</file>

<file path=xl/sharedStrings.xml><?xml version="1.0" encoding="utf-8"?>
<sst xmlns="http://schemas.openxmlformats.org/spreadsheetml/2006/main" count="264" uniqueCount="160">
  <si>
    <t>No. of Weeks</t>
  </si>
  <si>
    <t>Hours Per Week</t>
  </si>
  <si>
    <t>Annual</t>
  </si>
  <si>
    <t>Monthly</t>
  </si>
  <si>
    <t>Other Monthly Benefits</t>
  </si>
  <si>
    <t>Total Monthly Cost</t>
  </si>
  <si>
    <t>Director</t>
  </si>
  <si>
    <t>Other Staff 3</t>
  </si>
  <si>
    <t>Other Staff 4</t>
  </si>
  <si>
    <t>Other Staff 5</t>
  </si>
  <si>
    <t>Cleaning</t>
  </si>
  <si>
    <t>Food</t>
  </si>
  <si>
    <t>Insurance</t>
  </si>
  <si>
    <t>Other</t>
  </si>
  <si>
    <t>Maintenance</t>
  </si>
  <si>
    <t>Postage</t>
  </si>
  <si>
    <t>Printing</t>
  </si>
  <si>
    <t>Real Estate Taxes</t>
  </si>
  <si>
    <t xml:space="preserve">Rent or Mortgage </t>
  </si>
  <si>
    <t xml:space="preserve">Building/Equipment Repairs </t>
  </si>
  <si>
    <t>Telephone/Internet</t>
  </si>
  <si>
    <t>Transportation</t>
  </si>
  <si>
    <t>Licenses</t>
  </si>
  <si>
    <t>Bank Service Charges</t>
  </si>
  <si>
    <t>Dues and Subscriptions</t>
  </si>
  <si>
    <t>Miscellaneous</t>
  </si>
  <si>
    <t>Total</t>
  </si>
  <si>
    <t>Hourly Rate*</t>
  </si>
  <si>
    <t>Taxable Wages for FED UE</t>
  </si>
  <si>
    <t>Annual FED UE</t>
  </si>
  <si>
    <t>Taxable Wages for State UE</t>
  </si>
  <si>
    <t>Annual State UE</t>
  </si>
  <si>
    <t>State UE Rate</t>
  </si>
  <si>
    <t>FED UE Rate</t>
  </si>
  <si>
    <t>Administrative and Other Staff</t>
  </si>
  <si>
    <t>* Calculate an hourly rate for salaried employees</t>
  </si>
  <si>
    <t>Position</t>
  </si>
  <si>
    <t>Teaching Staff</t>
  </si>
  <si>
    <t>Infant Room</t>
  </si>
  <si>
    <t>Toddler Room</t>
  </si>
  <si>
    <t>Preschool Room</t>
  </si>
  <si>
    <t xml:space="preserve">   Lead Teacher</t>
  </si>
  <si>
    <t xml:space="preserve">   Assistant Teacher</t>
  </si>
  <si>
    <t xml:space="preserve">   Aide</t>
  </si>
  <si>
    <t xml:space="preserve">   Other</t>
  </si>
  <si>
    <t>Before/After School</t>
  </si>
  <si>
    <t>Summer School</t>
  </si>
  <si>
    <t>Other Room/Group</t>
  </si>
  <si>
    <t>Monthly FICA</t>
  </si>
  <si>
    <t>Room/Position</t>
  </si>
  <si>
    <t>Monthy UE</t>
  </si>
  <si>
    <t>Indirect Costs: Costs that support the entire center; not specific to a classroom or age group.</t>
  </si>
  <si>
    <t>Expenses</t>
  </si>
  <si>
    <t>Average Monthly Cost*</t>
  </si>
  <si>
    <t>*If expense is not incurred monthly, determine the annual cost and divide by 12 to calculate the average monthly cost</t>
  </si>
  <si>
    <t>Total Monthly Expense</t>
  </si>
  <si>
    <t>Utilities (heat, water, electric, trash)</t>
  </si>
  <si>
    <t>Professional Services (Legal, Accounting, Consultants)</t>
  </si>
  <si>
    <t>Office Supplies</t>
  </si>
  <si>
    <t>Travel</t>
  </si>
  <si>
    <t>Meetings</t>
  </si>
  <si>
    <t>Annual Cost</t>
  </si>
  <si>
    <t>Source: Kim Votta Consulting</t>
  </si>
  <si>
    <t>Payroll (wages, benefits, and taxes)</t>
  </si>
  <si>
    <t>Professional Development</t>
  </si>
  <si>
    <t>Program Supplies (consumables)</t>
  </si>
  <si>
    <t>Educational Material/Equipment</t>
  </si>
  <si>
    <t>Field Trips</t>
  </si>
  <si>
    <t>Educational Consultants</t>
  </si>
  <si>
    <t>Total Room/Group Costs</t>
  </si>
  <si>
    <t xml:space="preserve">Direct Costs: Costs that are specific to each room or group. </t>
  </si>
  <si>
    <t>Tuition Discounts</t>
  </si>
  <si>
    <t>Expense Adjustment: Food Income**</t>
  </si>
  <si>
    <t>** Enter as a negative as food program income will reduce overall food expense</t>
  </si>
  <si>
    <t>All Teaching Staff</t>
  </si>
  <si>
    <t>Monthly Wages</t>
  </si>
  <si>
    <t>Other Monthly Benefits**</t>
  </si>
  <si>
    <t>** Input monthly benefit costs, if applicable (e.g. health, dental, disability insurance)</t>
  </si>
  <si>
    <t>Admin Assistant</t>
  </si>
  <si>
    <t>Rate</t>
  </si>
  <si>
    <t># enrolled</t>
  </si>
  <si>
    <t>Total*</t>
  </si>
  <si>
    <t>Total Revenue Per Week</t>
  </si>
  <si>
    <t>Utilization Rate</t>
  </si>
  <si>
    <t>half-days</t>
  </si>
  <si>
    <t>half-day</t>
  </si>
  <si>
    <t>Color Key:</t>
  </si>
  <si>
    <t>Data input cells</t>
  </si>
  <si>
    <t>Formula cells</t>
  </si>
  <si>
    <t>Formula cells + pulls from other worksheet</t>
  </si>
  <si>
    <t># of Children to Breakeven</t>
  </si>
  <si>
    <t>Administrative and Other Staff (wages, benefits, and taxes)</t>
  </si>
  <si>
    <t>Advertising/Promotion</t>
  </si>
  <si>
    <t>Total Cost</t>
  </si>
  <si>
    <t>Tuition</t>
  </si>
  <si>
    <t>Net Income</t>
  </si>
  <si>
    <t>Per Month for Enrolled Children</t>
  </si>
  <si>
    <t>Enrollment Metrics</t>
  </si>
  <si>
    <t>Annualized for Enrolled Children</t>
  </si>
  <si>
    <t>B/A School*</t>
  </si>
  <si>
    <t>Summer School*</t>
  </si>
  <si>
    <t>Adjust number of weeks from 52 to the # of weeks the B/A School program is run in your center.</t>
  </si>
  <si>
    <t>Adjust number of weeks from 52 to the # of weeks the Summer School program is run in your center.</t>
  </si>
  <si>
    <t>Instructions:</t>
  </si>
  <si>
    <t>CAUTION:  DO NOT DELETE ANY ROWS OR COLUMNS AND DO NOT OVERWRITE ANY FORMULAS IN THE ATTACHED SHEETS.</t>
  </si>
  <si>
    <t>Limitations:</t>
  </si>
  <si>
    <t xml:space="preserve">Generally, you should only have to complete the cells that are highlighted in Light Blue.  </t>
  </si>
  <si>
    <t>2. Then proceed to the Indirect Costs worksheet. Enter the typical or average monthly expense for each expense line item.</t>
  </si>
  <si>
    <t>Share of Total Enrollment</t>
  </si>
  <si>
    <t>Monthly Cost</t>
  </si>
  <si>
    <t>* If expense is not incurred monthly, determine the annual cost and divide by 12 to calculate the average monthly cost</t>
  </si>
  <si>
    <t>* Some center directors consider a room full at levels lower than what the room is licensed for.  If this applies to your center, use the number you consider as your ideal capacity when determining capacity.</t>
  </si>
  <si>
    <t>5.  Proceed to the Output worksheet. Enter the number of weeks that the Before/After School and Summer School program runs. All other information should automatically calculate for you.</t>
  </si>
  <si>
    <t>* All totals exclude Summer School to avoid double counting.</t>
  </si>
  <si>
    <t>Units/Week~</t>
  </si>
  <si>
    <t>full-days</t>
  </si>
  <si>
    <t>full-day</t>
  </si>
  <si>
    <t>~ Totals exclude Summer School to avoid double counting.</t>
  </si>
  <si>
    <t># of children enrolled~</t>
  </si>
  <si>
    <t xml:space="preserve"> Capacity~</t>
  </si>
  <si>
    <t>FICA Rate</t>
  </si>
  <si>
    <t>Total All Staff</t>
  </si>
  <si>
    <t>Licensed/Ideal Capacity</t>
  </si>
  <si>
    <t>***</t>
  </si>
  <si>
    <t>Per Week Tuition</t>
  </si>
  <si>
    <t>Per Month Tuition</t>
  </si>
  <si>
    <t>^^ Average tuition/month = Avg Tuition/Week x 4</t>
  </si>
  <si>
    <t>Full-Days Used</t>
  </si>
  <si>
    <t>Half-Days Used</t>
  </si>
  <si>
    <t>TOTAL* FTE</t>
  </si>
  <si>
    <t>Avg Tuition/ Month^^</t>
  </si>
  <si>
    <t>^ Average tuition/week = Per Week Tuition (Column B)/Total FTE K</t>
  </si>
  <si>
    <t>Indirect Cost Per Child</t>
  </si>
  <si>
    <t>Direct Cost Per Child</t>
  </si>
  <si>
    <t>Total Cost Per Child</t>
  </si>
  <si>
    <t>Avg. Tuition Per Child</t>
  </si>
  <si>
    <t>Net Income Per Child</t>
  </si>
  <si>
    <t>3. Then proceed to the Direct Costs worksheet. First, enter your licensed capacity* for each classroom. Make sure you do not forget to fill in your licensed capacity in this worksheet. If you don't, the other worksheets will not calculate properly. Enter the typical or average monthly expense for each expense line item in Column B. Expenses are allocated based on a group or room's percent share of licensed/ideal capacity except for Tuition expense and Food Income. If you offer tuition discounts, enter the the average monthly amount of the discounts for each group/room in the column designated for that group/room. For example, enter the average monthly tuition discount provided to infants in Column C. The discount is considered an expense. If you receive Food Income to support a food program, enter the average monthly amount the of food income received for each group/room in the column designated for that group/room. For example, enter the average monthly food income received for the infant group/room in Column C. Enter the food income amounts as a negative, as the income offsets the cost of food. Teaching wages are pulled from the Staff worksheet.</t>
  </si>
  <si>
    <t>4.  Now proceed to the Tuition worksheet. The worksheet allows you to enter tuition rates for 10 different child care rates per classroom (from 1 to 5 full days, and 1 to 5 half days.) Then enter each of your child care rates for each classroom and the number of children enrolled for each rate.  This worksheet will automatically calculate the weekly and monthly revenue in each group/room as well as the full-time equivalent enrollment for each group/room.</t>
  </si>
  <si>
    <t>NOT LOCKED - MASTER FILE</t>
  </si>
  <si>
    <t>Base wages</t>
  </si>
  <si>
    <t>State</t>
  </si>
  <si>
    <t>Federal</t>
  </si>
  <si>
    <t>1. Start with the Staff worksheet. Enter the job titles or names of each staff person, their weekly hours, and hourly rate. Enter the wage base for state and federal unemployment tax. Figure out your payroll tax rate (FICA, Medicare, SUTA, FUTA). Enter any benefits you pay staff as a monthly dollar amount in column M.</t>
  </si>
  <si>
    <t>*** Licensed capacity total excludes Summer School to avoid double counting.</t>
  </si>
  <si>
    <t>Total infants enrolled = 7, FTE = 5.2</t>
  </si>
  <si>
    <t>Float</t>
  </si>
  <si>
    <t>Subtotal Direct Costs Allocated by percent of capacity</t>
  </si>
  <si>
    <t>* Before/After School &amp; Summer School Adjusted to reflect income and expense for # of weeks each program is run. Input # of weeks for each program in cells K2 and L2. You must enter a value between 0 and 52 for each program.</t>
  </si>
  <si>
    <t>Enrollment</t>
  </si>
  <si>
    <t>Business of Child Care Worksheet</t>
  </si>
  <si>
    <t>The workbook does not take into account other income sources, such as grants and fundraising.</t>
  </si>
  <si>
    <r>
      <t xml:space="preserve">~ To calculate full-time equivalent, it is assumed there are </t>
    </r>
    <r>
      <rPr>
        <i/>
        <u/>
        <sz val="9"/>
        <color theme="1"/>
        <rFont val="Work Sans"/>
      </rPr>
      <t>five full-day units</t>
    </r>
    <r>
      <rPr>
        <i/>
        <sz val="9"/>
        <color theme="1"/>
        <rFont val="Work Sans"/>
      </rPr>
      <t xml:space="preserve"> or </t>
    </r>
    <r>
      <rPr>
        <i/>
        <u/>
        <sz val="9"/>
        <color theme="1"/>
        <rFont val="Work Sans"/>
      </rPr>
      <t>ten half-day units</t>
    </r>
    <r>
      <rPr>
        <i/>
        <sz val="9"/>
        <color theme="1"/>
        <rFont val="Work Sans"/>
      </rPr>
      <t xml:space="preserve"> available each week.</t>
    </r>
  </si>
  <si>
    <t>Avg Tuition/
Week^</t>
  </si>
  <si>
    <t>FTE Enrolled/
Full Day</t>
  </si>
  <si>
    <t>FTE Enrolled/
Half Day</t>
  </si>
  <si>
    <r>
      <rPr>
        <b/>
        <u/>
        <sz val="9"/>
        <color theme="1"/>
        <rFont val="Work Sans"/>
      </rPr>
      <t>Indirect Cost Per Child</t>
    </r>
    <r>
      <rPr>
        <sz val="9"/>
        <color theme="1"/>
        <rFont val="Work Sans"/>
      </rPr>
      <t xml:space="preserve"> = Indirect Cost Per Month * Percent of Total Capacity)/Full-time equivalent enrollment </t>
    </r>
  </si>
  <si>
    <r>
      <rPr>
        <b/>
        <u/>
        <sz val="9"/>
        <color theme="1"/>
        <rFont val="Work Sans"/>
      </rPr>
      <t>Direct Cost Per Child</t>
    </r>
    <r>
      <rPr>
        <sz val="9"/>
        <color theme="1"/>
        <rFont val="Work Sans"/>
      </rPr>
      <t xml:space="preserve"> = Direct Cost Per Month/Full-time equivalent enrollment</t>
    </r>
  </si>
  <si>
    <r>
      <rPr>
        <b/>
        <u/>
        <sz val="9"/>
        <color theme="1"/>
        <rFont val="Work Sans"/>
      </rPr>
      <t>Number of Children to Breakeven</t>
    </r>
    <r>
      <rPr>
        <sz val="9"/>
        <color theme="1"/>
        <rFont val="Work Sans"/>
      </rPr>
      <t xml:space="preserve"> is calculated by dividing monthly expenses by the monthly tuition per child.</t>
    </r>
  </si>
  <si>
    <r>
      <rPr>
        <b/>
        <u/>
        <sz val="9"/>
        <color theme="1"/>
        <rFont val="Work Sans"/>
      </rPr>
      <t>Utilization Rate</t>
    </r>
    <r>
      <rPr>
        <sz val="9"/>
        <color theme="1"/>
        <rFont val="Work Sans"/>
      </rPr>
      <t xml:space="preserve"> = Amount of capacity per classroom used based on current enrollment. Higher enrollment equals a higher utilization rate. Knowing your historical utilization rate is helpful in budgeting. Aim for 90% of higher overall utilization rate.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</si>
</sst>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7">
    <font>
      <sz val="11"/>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u/>
      <sz val="11"/>
      <color theme="10"/>
      <name val="Work Sans"/>
    </font>
    <font>
      <sz val="11"/>
      <color theme="1"/>
      <name val="Work Sans"/>
    </font>
    <font>
      <b/>
      <sz val="10"/>
      <name val="Work Sans"/>
    </font>
    <font>
      <i/>
      <sz val="11"/>
      <color theme="1"/>
      <name val="Work Sans"/>
    </font>
    <font>
      <sz val="10"/>
      <color indexed="8"/>
      <name val="Work Sans"/>
    </font>
    <font>
      <b/>
      <sz val="11"/>
      <color theme="1"/>
      <name val="Basic sans bold"/>
    </font>
    <font>
      <b/>
      <sz val="9"/>
      <color theme="1"/>
      <name val="Work Sans"/>
    </font>
    <font>
      <sz val="9"/>
      <color theme="1"/>
      <name val="Work Sans"/>
    </font>
    <font>
      <u/>
      <sz val="11"/>
      <color theme="1"/>
      <name val="Work Sans"/>
    </font>
    <font>
      <b/>
      <sz val="11"/>
      <color theme="1"/>
      <name val="Work Sans"/>
    </font>
    <font>
      <b/>
      <u/>
      <sz val="11"/>
      <color theme="1"/>
      <name val="Work Sans"/>
    </font>
    <font>
      <b/>
      <i/>
      <sz val="11"/>
      <color theme="1"/>
      <name val="Work Sans"/>
    </font>
    <font>
      <b/>
      <sz val="11"/>
      <name val="Work Sans"/>
    </font>
    <font>
      <b/>
      <u/>
      <sz val="11"/>
      <name val="Work Sans"/>
    </font>
    <font>
      <sz val="11"/>
      <name val="Work Sans"/>
    </font>
    <font>
      <u val="singleAccounting"/>
      <sz val="11"/>
      <name val="Work Sans"/>
    </font>
    <font>
      <i/>
      <sz val="9"/>
      <color theme="1"/>
      <name val="Work Sans"/>
    </font>
    <font>
      <i/>
      <sz val="9"/>
      <name val="Work Sans"/>
    </font>
    <font>
      <i/>
      <u/>
      <sz val="11"/>
      <name val="Work Sans"/>
    </font>
    <font>
      <i/>
      <u/>
      <sz val="11"/>
      <color theme="1"/>
      <name val="Work Sans"/>
    </font>
    <font>
      <i/>
      <u/>
      <sz val="9"/>
      <color theme="1"/>
      <name val="Work Sans"/>
    </font>
    <font>
      <sz val="8"/>
      <color theme="1"/>
      <name val="Work Sans"/>
    </font>
    <font>
      <b/>
      <u/>
      <sz val="9"/>
      <color theme="1"/>
      <name val="Work Sans"/>
    </font>
  </fonts>
  <fills count="9">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51">
    <xf numFmtId="0" fontId="0" fillId="0" borderId="0" xfId="0"/>
    <xf numFmtId="0" fontId="4" fillId="0" borderId="0" xfId="3" applyFont="1"/>
    <xf numFmtId="0" fontId="5" fillId="0" borderId="0" xfId="0" applyFont="1"/>
    <xf numFmtId="0" fontId="6" fillId="0" borderId="12" xfId="0" applyFont="1" applyBorder="1"/>
    <xf numFmtId="0" fontId="5" fillId="0" borderId="13" xfId="0" applyFont="1" applyBorder="1"/>
    <xf numFmtId="0" fontId="6" fillId="2" borderId="13" xfId="0" applyFont="1" applyFill="1" applyBorder="1"/>
    <xf numFmtId="0" fontId="6" fillId="0" borderId="13" xfId="0" applyFont="1" applyBorder="1"/>
    <xf numFmtId="0" fontId="5" fillId="0" borderId="13" xfId="0" applyFont="1" applyBorder="1" applyAlignment="1">
      <alignment wrapText="1"/>
    </xf>
    <xf numFmtId="0" fontId="5" fillId="0" borderId="13" xfId="0" applyFont="1" applyBorder="1" applyAlignment="1">
      <alignment vertical="top" wrapText="1"/>
    </xf>
    <xf numFmtId="0" fontId="5" fillId="0" borderId="13" xfId="0" applyFont="1" applyBorder="1" applyAlignment="1">
      <alignment horizontal="left" vertical="top" wrapText="1"/>
    </xf>
    <xf numFmtId="0" fontId="7" fillId="0" borderId="14" xfId="0" applyFont="1" applyBorder="1" applyAlignment="1">
      <alignment wrapText="1"/>
    </xf>
    <xf numFmtId="0" fontId="5" fillId="0" borderId="0" xfId="0" applyFont="1" applyAlignment="1">
      <alignment wrapText="1"/>
    </xf>
    <xf numFmtId="0" fontId="6" fillId="0" borderId="12" xfId="0" applyFont="1" applyBorder="1" applyAlignment="1">
      <alignment wrapText="1"/>
    </xf>
    <xf numFmtId="0" fontId="8" fillId="0" borderId="14" xfId="0" applyFont="1" applyBorder="1"/>
    <xf numFmtId="0" fontId="9" fillId="0" borderId="0" xfId="0" applyFont="1" applyAlignment="1">
      <alignment vertical="center"/>
    </xf>
    <xf numFmtId="0" fontId="10" fillId="0" borderId="0" xfId="0" applyFont="1" applyAlignment="1">
      <alignment horizontal="right"/>
    </xf>
    <xf numFmtId="0" fontId="11" fillId="2" borderId="0" xfId="0" applyFont="1" applyFill="1" applyAlignment="1">
      <alignment horizontal="left"/>
    </xf>
    <xf numFmtId="0" fontId="11" fillId="3" borderId="0" xfId="0" applyFont="1" applyFill="1" applyAlignment="1">
      <alignment horizontal="left"/>
    </xf>
    <xf numFmtId="0" fontId="11" fillId="5" borderId="0" xfId="0" applyFont="1" applyFill="1" applyAlignment="1">
      <alignment horizontal="left"/>
    </xf>
    <xf numFmtId="0" fontId="5" fillId="5" borderId="0" xfId="0" applyFont="1" applyFill="1" applyAlignment="1">
      <alignment horizontal="left"/>
    </xf>
    <xf numFmtId="0" fontId="5" fillId="5" borderId="0" xfId="0" applyFont="1" applyFill="1"/>
    <xf numFmtId="0" fontId="12" fillId="0" borderId="1" xfId="0" applyFont="1" applyBorder="1" applyAlignment="1">
      <alignment horizontal="center"/>
    </xf>
    <xf numFmtId="164" fontId="5" fillId="2" borderId="1" xfId="1" applyNumberFormat="1" applyFont="1" applyFill="1" applyBorder="1"/>
    <xf numFmtId="0" fontId="14" fillId="0" borderId="0" xfId="0" applyFont="1"/>
    <xf numFmtId="0" fontId="12" fillId="0" borderId="0" xfId="0" applyFont="1"/>
    <xf numFmtId="0" fontId="15" fillId="0" borderId="1" xfId="0" applyFont="1" applyBorder="1" applyAlignment="1">
      <alignment horizontal="center"/>
    </xf>
    <xf numFmtId="10" fontId="7" fillId="2" borderId="1" xfId="0" applyNumberFormat="1" applyFont="1" applyFill="1" applyBorder="1" applyAlignment="1">
      <alignment horizontal="center"/>
    </xf>
    <xf numFmtId="10" fontId="7" fillId="2" borderId="1" xfId="2" applyNumberFormat="1" applyFont="1" applyFill="1" applyBorder="1" applyAlignment="1">
      <alignment horizontal="center"/>
    </xf>
    <xf numFmtId="0" fontId="7" fillId="0" borderId="0" xfId="0" applyFont="1" applyAlignment="1">
      <alignment horizontal="center"/>
    </xf>
    <xf numFmtId="0" fontId="16" fillId="0" borderId="0" xfId="0" applyFont="1"/>
    <xf numFmtId="0" fontId="17" fillId="0" borderId="0" xfId="0" applyFont="1" applyAlignment="1">
      <alignment horizontal="center" wrapText="1"/>
    </xf>
    <xf numFmtId="0" fontId="14" fillId="0" borderId="1" xfId="0" applyFont="1" applyBorder="1" applyAlignment="1">
      <alignment horizontal="center" wrapText="1"/>
    </xf>
    <xf numFmtId="0" fontId="14" fillId="0" borderId="0" xfId="0" applyFont="1" applyAlignment="1">
      <alignment horizontal="center" wrapText="1"/>
    </xf>
    <xf numFmtId="0" fontId="18" fillId="0" borderId="0" xfId="0" applyFont="1"/>
    <xf numFmtId="0" fontId="18" fillId="2" borderId="0" xfId="0" applyFont="1" applyFill="1" applyAlignment="1">
      <alignment horizontal="center"/>
    </xf>
    <xf numFmtId="44" fontId="18" fillId="2" borderId="0" xfId="1" applyFont="1" applyFill="1"/>
    <xf numFmtId="1" fontId="18" fillId="2" borderId="0" xfId="0" applyNumberFormat="1" applyFont="1" applyFill="1" applyAlignment="1">
      <alignment horizontal="center"/>
    </xf>
    <xf numFmtId="44" fontId="18" fillId="3" borderId="0" xfId="0" applyNumberFormat="1" applyFont="1" applyFill="1"/>
    <xf numFmtId="44" fontId="5" fillId="3" borderId="1" xfId="1" applyFont="1" applyFill="1" applyBorder="1"/>
    <xf numFmtId="44" fontId="5" fillId="3" borderId="0" xfId="1" applyFont="1" applyFill="1" applyBorder="1"/>
    <xf numFmtId="44" fontId="19" fillId="3" borderId="0" xfId="0" applyNumberFormat="1" applyFont="1" applyFill="1"/>
    <xf numFmtId="44" fontId="19" fillId="2" borderId="0" xfId="1" applyFont="1" applyFill="1"/>
    <xf numFmtId="44" fontId="16" fillId="3" borderId="0" xfId="0" applyNumberFormat="1" applyFont="1" applyFill="1"/>
    <xf numFmtId="44" fontId="16" fillId="3" borderId="1" xfId="1" applyFont="1" applyFill="1" applyBorder="1"/>
    <xf numFmtId="44" fontId="13" fillId="0" borderId="0" xfId="0" applyNumberFormat="1" applyFont="1"/>
    <xf numFmtId="0" fontId="13" fillId="0" borderId="0" xfId="0" applyFont="1"/>
    <xf numFmtId="44" fontId="18" fillId="0" borderId="0" xfId="0" applyNumberFormat="1" applyFont="1"/>
    <xf numFmtId="0" fontId="15" fillId="0" borderId="0" xfId="0" applyFont="1"/>
    <xf numFmtId="44" fontId="16" fillId="2" borderId="0" xfId="1" applyFont="1" applyFill="1" applyAlignment="1">
      <alignment horizontal="right"/>
    </xf>
    <xf numFmtId="44" fontId="5" fillId="0" borderId="0" xfId="0" applyNumberFormat="1" applyFont="1"/>
    <xf numFmtId="0" fontId="20" fillId="0" borderId="0" xfId="0" applyFont="1"/>
    <xf numFmtId="0" fontId="5" fillId="3" borderId="1" xfId="0" applyFont="1" applyFill="1" applyBorder="1"/>
    <xf numFmtId="44" fontId="16" fillId="0" borderId="0" xfId="0" applyNumberFormat="1" applyFont="1"/>
    <xf numFmtId="44" fontId="13" fillId="3" borderId="0" xfId="0" applyNumberFormat="1" applyFont="1" applyFill="1"/>
    <xf numFmtId="44" fontId="5" fillId="3" borderId="0" xfId="0" applyNumberFormat="1" applyFont="1" applyFill="1"/>
    <xf numFmtId="0" fontId="21" fillId="0" borderId="0" xfId="0" applyFont="1"/>
    <xf numFmtId="0" fontId="21" fillId="0" borderId="0" xfId="3" applyFont="1"/>
    <xf numFmtId="0" fontId="13" fillId="8" borderId="0" xfId="0" applyFont="1" applyFill="1" applyAlignment="1">
      <alignment horizontal="center"/>
    </xf>
    <xf numFmtId="0" fontId="17" fillId="0" borderId="0" xfId="0" applyFont="1"/>
    <xf numFmtId="44" fontId="18" fillId="5" borderId="0" xfId="0" applyNumberFormat="1" applyFont="1" applyFill="1" applyAlignment="1">
      <alignment horizontal="center" wrapText="1"/>
    </xf>
    <xf numFmtId="44" fontId="18" fillId="3" borderId="0" xfId="0" applyNumberFormat="1" applyFont="1" applyFill="1" applyAlignment="1">
      <alignment horizontal="center" wrapText="1"/>
    </xf>
    <xf numFmtId="44" fontId="18" fillId="3" borderId="0" xfId="1" applyFont="1" applyFill="1"/>
    <xf numFmtId="0" fontId="21" fillId="8" borderId="0" xfId="0" applyFont="1" applyFill="1"/>
    <xf numFmtId="0" fontId="5" fillId="8" borderId="0" xfId="0" applyFont="1" applyFill="1"/>
    <xf numFmtId="0" fontId="5" fillId="7" borderId="0" xfId="0" applyFont="1" applyFill="1"/>
    <xf numFmtId="0" fontId="15" fillId="5" borderId="1" xfId="0" applyFont="1" applyFill="1" applyBorder="1" applyAlignment="1">
      <alignment horizontal="center" wrapText="1"/>
    </xf>
    <xf numFmtId="0" fontId="15" fillId="0" borderId="0" xfId="0" applyFont="1" applyAlignment="1">
      <alignment horizontal="center"/>
    </xf>
    <xf numFmtId="0" fontId="10" fillId="7" borderId="0" xfId="0" applyFont="1" applyFill="1" applyAlignment="1">
      <alignment horizontal="right"/>
    </xf>
    <xf numFmtId="0" fontId="15" fillId="5" borderId="1" xfId="0" applyFont="1" applyFill="1" applyBorder="1" applyAlignment="1">
      <alignment horizontal="center"/>
    </xf>
    <xf numFmtId="0" fontId="15" fillId="3" borderId="1" xfId="0" applyFont="1" applyFill="1" applyBorder="1" applyAlignment="1">
      <alignment horizontal="center"/>
    </xf>
    <xf numFmtId="0" fontId="11" fillId="8" borderId="0" xfId="0" applyFont="1" applyFill="1"/>
    <xf numFmtId="9" fontId="15" fillId="3" borderId="1" xfId="2" applyFont="1" applyFill="1" applyBorder="1" applyAlignment="1">
      <alignment horizontal="center"/>
    </xf>
    <xf numFmtId="9" fontId="15" fillId="0" borderId="1" xfId="0" applyNumberFormat="1" applyFont="1" applyBorder="1" applyAlignment="1">
      <alignment horizontal="center"/>
    </xf>
    <xf numFmtId="0" fontId="22" fillId="0" borderId="1" xfId="0" applyFont="1" applyBorder="1" applyAlignment="1">
      <alignment horizontal="center" wrapText="1"/>
    </xf>
    <xf numFmtId="44" fontId="5" fillId="2" borderId="1" xfId="1" applyFont="1" applyFill="1" applyBorder="1"/>
    <xf numFmtId="44" fontId="5" fillId="7" borderId="1" xfId="1" applyFont="1" applyFill="1" applyBorder="1"/>
    <xf numFmtId="44" fontId="13" fillId="3" borderId="1" xfId="1" applyFont="1" applyFill="1" applyBorder="1"/>
    <xf numFmtId="0" fontId="5" fillId="7" borderId="1" xfId="0" applyFont="1" applyFill="1" applyBorder="1"/>
    <xf numFmtId="44" fontId="13" fillId="5" borderId="1" xfId="1" applyFont="1" applyFill="1" applyBorder="1"/>
    <xf numFmtId="0" fontId="12" fillId="8" borderId="0" xfId="0" applyFont="1" applyFill="1"/>
    <xf numFmtId="44" fontId="12" fillId="7" borderId="1" xfId="1" applyFont="1" applyFill="1" applyBorder="1"/>
    <xf numFmtId="0" fontId="13" fillId="4" borderId="0" xfId="0" applyFont="1" applyFill="1"/>
    <xf numFmtId="44" fontId="13" fillId="7" borderId="1" xfId="0" applyNumberFormat="1" applyFont="1" applyFill="1" applyBorder="1"/>
    <xf numFmtId="44" fontId="13" fillId="3" borderId="1" xfId="0" applyNumberFormat="1" applyFont="1" applyFill="1" applyBorder="1"/>
    <xf numFmtId="0" fontId="20" fillId="8" borderId="0" xfId="0" applyFont="1" applyFill="1"/>
    <xf numFmtId="0" fontId="11" fillId="3" borderId="0" xfId="0" applyFont="1" applyFill="1" applyAlignment="1">
      <alignment horizontal="center"/>
    </xf>
    <xf numFmtId="0" fontId="13" fillId="6" borderId="6" xfId="0" applyFont="1" applyFill="1" applyBorder="1" applyAlignment="1">
      <alignment horizontal="center"/>
    </xf>
    <xf numFmtId="0" fontId="13" fillId="0" borderId="1" xfId="0" applyFont="1" applyBorder="1" applyAlignment="1">
      <alignment horizontal="center" wrapText="1"/>
    </xf>
    <xf numFmtId="0" fontId="23" fillId="0" borderId="1" xfId="0" applyFont="1" applyBorder="1" applyAlignment="1">
      <alignment horizontal="center"/>
    </xf>
    <xf numFmtId="0" fontId="5" fillId="5" borderId="1" xfId="0" applyFont="1" applyFill="1" applyBorder="1"/>
    <xf numFmtId="0" fontId="13" fillId="2" borderId="1" xfId="0" applyFont="1" applyFill="1" applyBorder="1" applyAlignment="1">
      <alignment horizontal="center"/>
    </xf>
    <xf numFmtId="0" fontId="5" fillId="2" borderId="1" xfId="0" applyFont="1" applyFill="1" applyBorder="1"/>
    <xf numFmtId="0" fontId="13" fillId="0" borderId="1" xfId="0" applyFont="1" applyBorder="1" applyAlignment="1">
      <alignment horizontal="right"/>
    </xf>
    <xf numFmtId="0" fontId="13" fillId="3" borderId="1" xfId="0" applyFont="1" applyFill="1" applyBorder="1" applyAlignment="1">
      <alignment horizontal="center"/>
    </xf>
    <xf numFmtId="0" fontId="13" fillId="7" borderId="1" xfId="0" applyFont="1" applyFill="1" applyBorder="1" applyAlignment="1">
      <alignment horizontal="center"/>
    </xf>
    <xf numFmtId="44" fontId="5" fillId="2" borderId="1" xfId="1" applyFont="1" applyFill="1" applyBorder="1" applyAlignment="1">
      <alignment horizontal="center"/>
    </xf>
    <xf numFmtId="0" fontId="5" fillId="7" borderId="1" xfId="0" applyFont="1" applyFill="1" applyBorder="1" applyAlignment="1">
      <alignment horizontal="center"/>
    </xf>
    <xf numFmtId="0" fontId="5" fillId="0" borderId="0" xfId="0" applyFont="1" applyAlignment="1">
      <alignment horizontal="center"/>
    </xf>
    <xf numFmtId="0" fontId="13" fillId="0" borderId="17" xfId="0" applyFont="1" applyBorder="1" applyAlignment="1">
      <alignment horizontal="center"/>
    </xf>
    <xf numFmtId="0" fontId="13" fillId="0" borderId="0" xfId="0" applyFont="1" applyAlignment="1">
      <alignment horizontal="center"/>
    </xf>
    <xf numFmtId="0" fontId="13" fillId="0" borderId="1" xfId="0" applyFont="1" applyBorder="1"/>
    <xf numFmtId="0" fontId="13" fillId="0" borderId="7" xfId="0" applyFont="1" applyBorder="1" applyAlignment="1">
      <alignment horizontal="center" wrapText="1"/>
    </xf>
    <xf numFmtId="44" fontId="5" fillId="3" borderId="7" xfId="0" applyNumberFormat="1" applyFont="1" applyFill="1" applyBorder="1"/>
    <xf numFmtId="44" fontId="5" fillId="3" borderId="1" xfId="0" applyNumberFormat="1" applyFont="1" applyFill="1" applyBorder="1" applyAlignment="1">
      <alignment horizontal="center"/>
    </xf>
    <xf numFmtId="44" fontId="5" fillId="3" borderId="1" xfId="0" applyNumberFormat="1" applyFont="1" applyFill="1" applyBorder="1"/>
    <xf numFmtId="0" fontId="5" fillId="8" borderId="1" xfId="0" applyFont="1" applyFill="1" applyBorder="1" applyAlignment="1">
      <alignment horizontal="center"/>
    </xf>
    <xf numFmtId="0" fontId="5" fillId="3" borderId="1" xfId="0" applyFont="1" applyFill="1" applyBorder="1" applyAlignment="1">
      <alignment horizontal="center"/>
    </xf>
    <xf numFmtId="44" fontId="13" fillId="3" borderId="1" xfId="0" applyNumberFormat="1" applyFont="1" applyFill="1" applyBorder="1" applyAlignment="1">
      <alignment horizontal="center"/>
    </xf>
    <xf numFmtId="0" fontId="5" fillId="8" borderId="0" xfId="0" applyFont="1" applyFill="1" applyAlignment="1">
      <alignment horizontal="center"/>
    </xf>
    <xf numFmtId="0" fontId="20" fillId="8" borderId="0" xfId="0" applyFont="1" applyFill="1" applyAlignment="1">
      <alignment vertical="top"/>
    </xf>
    <xf numFmtId="0" fontId="10" fillId="0" borderId="1" xfId="0" applyFont="1" applyBorder="1" applyAlignment="1">
      <alignment horizontal="center"/>
    </xf>
    <xf numFmtId="0" fontId="11" fillId="2" borderId="16" xfId="0" applyFont="1" applyFill="1" applyBorder="1" applyAlignment="1">
      <alignment horizontal="center"/>
    </xf>
    <xf numFmtId="0" fontId="20" fillId="0" borderId="0" xfId="0" applyFont="1" applyAlignment="1">
      <alignment horizontal="center"/>
    </xf>
    <xf numFmtId="0" fontId="11" fillId="0" borderId="0" xfId="0" quotePrefix="1" applyFont="1" applyAlignment="1">
      <alignment horizontal="center"/>
    </xf>
    <xf numFmtId="0" fontId="5" fillId="0" borderId="3" xfId="0" applyFont="1" applyBorder="1"/>
    <xf numFmtId="0" fontId="14" fillId="6" borderId="15" xfId="0" applyFont="1" applyFill="1" applyBorder="1" applyAlignment="1">
      <alignment horizontal="center"/>
    </xf>
    <xf numFmtId="0" fontId="14" fillId="6" borderId="9" xfId="0" applyFont="1" applyFill="1" applyBorder="1" applyAlignment="1">
      <alignment horizontal="center"/>
    </xf>
    <xf numFmtId="0" fontId="14" fillId="8" borderId="15" xfId="0" applyFont="1" applyFill="1" applyBorder="1" applyAlignment="1">
      <alignment horizontal="center"/>
    </xf>
    <xf numFmtId="0" fontId="14" fillId="8" borderId="8" xfId="0" applyFont="1" applyFill="1" applyBorder="1" applyAlignment="1">
      <alignment horizontal="center"/>
    </xf>
    <xf numFmtId="0" fontId="14" fillId="8" borderId="9" xfId="0" applyFont="1" applyFill="1" applyBorder="1" applyAlignment="1">
      <alignment horizontal="center"/>
    </xf>
    <xf numFmtId="0" fontId="14" fillId="8" borderId="0" xfId="0" applyFont="1" applyFill="1" applyAlignment="1">
      <alignment horizontal="center" wrapText="1"/>
    </xf>
    <xf numFmtId="0" fontId="14" fillId="0" borderId="3" xfId="0" applyFont="1" applyBorder="1" applyAlignment="1">
      <alignment horizontal="center" wrapText="1"/>
    </xf>
    <xf numFmtId="0" fontId="14" fillId="0" borderId="5" xfId="0" applyFont="1" applyBorder="1" applyAlignment="1">
      <alignment horizontal="center" wrapText="1"/>
    </xf>
    <xf numFmtId="0" fontId="5" fillId="0" borderId="1" xfId="0" applyFont="1" applyBorder="1"/>
    <xf numFmtId="44" fontId="5" fillId="5" borderId="1" xfId="0" applyNumberFormat="1" applyFont="1" applyFill="1" applyBorder="1"/>
    <xf numFmtId="44" fontId="5" fillId="3" borderId="2" xfId="0" applyNumberFormat="1" applyFont="1" applyFill="1" applyBorder="1"/>
    <xf numFmtId="44" fontId="5" fillId="3" borderId="4" xfId="0" applyNumberFormat="1" applyFont="1" applyFill="1" applyBorder="1"/>
    <xf numFmtId="44" fontId="5" fillId="5" borderId="2" xfId="0" applyNumberFormat="1" applyFont="1" applyFill="1" applyBorder="1"/>
    <xf numFmtId="44" fontId="5" fillId="3" borderId="11" xfId="0" applyNumberFormat="1" applyFont="1" applyFill="1" applyBorder="1"/>
    <xf numFmtId="44" fontId="5" fillId="8" borderId="2" xfId="0" applyNumberFormat="1" applyFont="1" applyFill="1" applyBorder="1"/>
    <xf numFmtId="2" fontId="13" fillId="8" borderId="4" xfId="0" applyNumberFormat="1" applyFont="1" applyFill="1" applyBorder="1" applyAlignment="1">
      <alignment horizontal="center"/>
    </xf>
    <xf numFmtId="9" fontId="13" fillId="8" borderId="2" xfId="2" applyFont="1" applyFill="1" applyBorder="1" applyAlignment="1">
      <alignment horizontal="center"/>
    </xf>
    <xf numFmtId="0" fontId="5" fillId="5" borderId="1" xfId="0" applyFont="1" applyFill="1" applyBorder="1" applyAlignment="1">
      <alignment horizontal="center"/>
    </xf>
    <xf numFmtId="9" fontId="13" fillId="3" borderId="2" xfId="2" applyFont="1" applyFill="1" applyBorder="1" applyAlignment="1">
      <alignment horizontal="center"/>
    </xf>
    <xf numFmtId="2" fontId="13" fillId="3" borderId="4" xfId="0" applyNumberFormat="1" applyFont="1" applyFill="1" applyBorder="1" applyAlignment="1">
      <alignment horizontal="center"/>
    </xf>
    <xf numFmtId="44" fontId="5" fillId="7" borderId="8" xfId="0" applyNumberFormat="1" applyFont="1" applyFill="1" applyBorder="1"/>
    <xf numFmtId="0" fontId="5" fillId="7" borderId="8" xfId="0" applyFont="1" applyFill="1" applyBorder="1"/>
    <xf numFmtId="0" fontId="5" fillId="7" borderId="9" xfId="0" applyFont="1" applyFill="1" applyBorder="1"/>
    <xf numFmtId="44" fontId="13" fillId="8" borderId="10" xfId="0" applyNumberFormat="1" applyFont="1" applyFill="1" applyBorder="1"/>
    <xf numFmtId="44" fontId="13" fillId="8" borderId="1" xfId="0" applyNumberFormat="1" applyFont="1" applyFill="1" applyBorder="1"/>
    <xf numFmtId="44" fontId="13" fillId="8" borderId="2" xfId="0" applyNumberFormat="1" applyFont="1" applyFill="1" applyBorder="1"/>
    <xf numFmtId="0" fontId="5" fillId="7" borderId="5" xfId="0" applyFont="1" applyFill="1" applyBorder="1"/>
    <xf numFmtId="9" fontId="13" fillId="3" borderId="2" xfId="0" applyNumberFormat="1" applyFont="1" applyFill="1" applyBorder="1" applyAlignment="1">
      <alignment horizontal="center"/>
    </xf>
    <xf numFmtId="0" fontId="20" fillId="0" borderId="0" xfId="0" applyFont="1" applyAlignment="1">
      <alignment vertical="top"/>
    </xf>
    <xf numFmtId="0" fontId="25" fillId="0" borderId="8" xfId="0" applyFont="1" applyBorder="1" applyAlignment="1">
      <alignment horizontal="left" vertical="top" wrapText="1"/>
    </xf>
    <xf numFmtId="0" fontId="11" fillId="0" borderId="8" xfId="0" applyFont="1" applyBorder="1"/>
    <xf numFmtId="44" fontId="11" fillId="0" borderId="8" xfId="0" applyNumberFormat="1" applyFont="1" applyBorder="1"/>
    <xf numFmtId="0" fontId="11" fillId="0" borderId="0" xfId="0" applyFont="1"/>
    <xf numFmtId="44" fontId="11" fillId="0" borderId="0" xfId="0" applyNumberFormat="1" applyFont="1"/>
    <xf numFmtId="9" fontId="5" fillId="0" borderId="0" xfId="2" applyFont="1"/>
    <xf numFmtId="9" fontId="5" fillId="0" borderId="0" xfId="0" applyNumberFormat="1" applyFont="1"/>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3549650</xdr:colOff>
      <xdr:row>0</xdr:row>
      <xdr:rowOff>218426</xdr:rowOff>
    </xdr:from>
    <xdr:to>
      <xdr:col>0</xdr:col>
      <xdr:colOff>5238750</xdr:colOff>
      <xdr:row>1</xdr:row>
      <xdr:rowOff>590149</xdr:rowOff>
    </xdr:to>
    <xdr:pic>
      <xdr:nvPicPr>
        <xdr:cNvPr id="5" name="Picture 4">
          <a:extLst>
            <a:ext uri="{FF2B5EF4-FFF2-40B4-BE49-F238E27FC236}">
              <a16:creationId xmlns:a16="http://schemas.microsoft.com/office/drawing/2014/main" id="{46B35574-F2D8-4483-0839-52CC2C06B8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49650" y="218426"/>
          <a:ext cx="1689100" cy="5939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file:///C:\Documents\Consulting\Child%20Care%20Aware\kvottaconsulting.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66473-746A-4E68-94CD-E593C3C6E3A2}">
  <sheetPr>
    <tabColor rgb="FFFFFF00"/>
  </sheetPr>
  <dimension ref="A1:A22"/>
  <sheetViews>
    <sheetView topLeftCell="A14" workbookViewId="0">
      <selection activeCell="A21" sqref="A21"/>
    </sheetView>
  </sheetViews>
  <sheetFormatPr defaultRowHeight="17.5"/>
  <cols>
    <col min="1" max="1" width="120.7265625" style="2" customWidth="1"/>
    <col min="2" max="16384" width="8.7265625" style="2"/>
  </cols>
  <sheetData>
    <row r="1" spans="1:1">
      <c r="A1" s="1" t="s">
        <v>62</v>
      </c>
    </row>
    <row r="2" spans="1:1" ht="50" customHeight="1" thickBot="1">
      <c r="A2" s="14" t="s">
        <v>150</v>
      </c>
    </row>
    <row r="3" spans="1:1">
      <c r="A3" s="3" t="s">
        <v>103</v>
      </c>
    </row>
    <row r="4" spans="1:1">
      <c r="A4" s="4"/>
    </row>
    <row r="5" spans="1:1">
      <c r="A5" s="5" t="s">
        <v>106</v>
      </c>
    </row>
    <row r="6" spans="1:1">
      <c r="A6" s="6" t="s">
        <v>104</v>
      </c>
    </row>
    <row r="7" spans="1:1">
      <c r="A7" s="4"/>
    </row>
    <row r="8" spans="1:1" ht="52.5">
      <c r="A8" s="7" t="s">
        <v>143</v>
      </c>
    </row>
    <row r="9" spans="1:1">
      <c r="A9" s="7"/>
    </row>
    <row r="10" spans="1:1" ht="35">
      <c r="A10" s="7" t="s">
        <v>107</v>
      </c>
    </row>
    <row r="11" spans="1:1">
      <c r="A11" s="7"/>
    </row>
    <row r="12" spans="1:1" ht="192.5">
      <c r="A12" s="8" t="s">
        <v>137</v>
      </c>
    </row>
    <row r="13" spans="1:1">
      <c r="A13" s="7"/>
    </row>
    <row r="14" spans="1:1" ht="77.150000000000006" customHeight="1">
      <c r="A14" s="9" t="s">
        <v>138</v>
      </c>
    </row>
    <row r="15" spans="1:1">
      <c r="A15" s="7"/>
    </row>
    <row r="16" spans="1:1" ht="35">
      <c r="A16" s="7" t="s">
        <v>112</v>
      </c>
    </row>
    <row r="17" spans="1:1">
      <c r="A17" s="7"/>
    </row>
    <row r="18" spans="1:1" ht="35.5" thickBot="1">
      <c r="A18" s="10" t="s">
        <v>111</v>
      </c>
    </row>
    <row r="19" spans="1:1" ht="18" thickBot="1">
      <c r="A19" s="11"/>
    </row>
    <row r="20" spans="1:1">
      <c r="A20" s="12" t="s">
        <v>105</v>
      </c>
    </row>
    <row r="21" spans="1:1">
      <c r="A21" s="7" t="s">
        <v>151</v>
      </c>
    </row>
    <row r="22" spans="1:1" ht="18" thickBot="1">
      <c r="A22" s="13"/>
    </row>
  </sheetData>
  <hyperlinks>
    <hyperlink ref="A1" r:id="rId1" xr:uid="{176D6BB9-183D-40A2-A68B-99DB48AC800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34885-D9DF-4661-A6B2-6DA3C202FB64}">
  <sheetPr>
    <tabColor theme="4" tint="0.39997558519241921"/>
  </sheetPr>
  <dimension ref="A1:O68"/>
  <sheetViews>
    <sheetView zoomScaleNormal="100" workbookViewId="0">
      <selection activeCell="B4" sqref="B4"/>
    </sheetView>
  </sheetViews>
  <sheetFormatPr defaultColWidth="21" defaultRowHeight="17.5"/>
  <cols>
    <col min="1" max="16384" width="21" style="2"/>
  </cols>
  <sheetData>
    <row r="1" spans="1:15">
      <c r="A1" s="15" t="s">
        <v>86</v>
      </c>
      <c r="B1" s="16" t="s">
        <v>87</v>
      </c>
      <c r="C1" s="17" t="s">
        <v>88</v>
      </c>
      <c r="D1" s="18" t="s">
        <v>89</v>
      </c>
      <c r="E1" s="19"/>
      <c r="F1" s="20"/>
      <c r="H1" s="21" t="s">
        <v>140</v>
      </c>
      <c r="I1" s="21" t="s">
        <v>141</v>
      </c>
      <c r="J1" s="21" t="s">
        <v>142</v>
      </c>
    </row>
    <row r="2" spans="1:15">
      <c r="C2" s="57" t="s">
        <v>139</v>
      </c>
      <c r="D2" s="57"/>
      <c r="E2" s="57"/>
      <c r="F2" s="57"/>
      <c r="I2" s="22">
        <f>14000</f>
        <v>14000</v>
      </c>
      <c r="J2" s="22">
        <v>7000</v>
      </c>
    </row>
    <row r="3" spans="1:15">
      <c r="A3" s="23" t="s">
        <v>34</v>
      </c>
      <c r="B3" s="24"/>
      <c r="C3" s="24"/>
      <c r="L3" s="25" t="s">
        <v>120</v>
      </c>
    </row>
    <row r="4" spans="1:15">
      <c r="F4" s="25" t="s">
        <v>32</v>
      </c>
      <c r="G4" s="26">
        <v>0.01</v>
      </c>
      <c r="H4" s="25" t="s">
        <v>33</v>
      </c>
      <c r="I4" s="27">
        <v>0</v>
      </c>
      <c r="J4" s="28"/>
      <c r="L4" s="26">
        <v>7.6499999999999999E-2</v>
      </c>
    </row>
    <row r="5" spans="1:15" ht="35">
      <c r="A5" s="29" t="s">
        <v>36</v>
      </c>
      <c r="B5" s="30" t="s">
        <v>0</v>
      </c>
      <c r="C5" s="30" t="s">
        <v>27</v>
      </c>
      <c r="D5" s="30" t="s">
        <v>1</v>
      </c>
      <c r="E5" s="30" t="s">
        <v>2</v>
      </c>
      <c r="F5" s="31" t="s">
        <v>30</v>
      </c>
      <c r="G5" s="31" t="s">
        <v>31</v>
      </c>
      <c r="H5" s="31" t="s">
        <v>28</v>
      </c>
      <c r="I5" s="31" t="s">
        <v>29</v>
      </c>
      <c r="J5" s="32" t="s">
        <v>50</v>
      </c>
      <c r="K5" s="30" t="s">
        <v>75</v>
      </c>
      <c r="L5" s="30" t="s">
        <v>48</v>
      </c>
      <c r="M5" s="30" t="s">
        <v>4</v>
      </c>
      <c r="N5" s="30" t="s">
        <v>5</v>
      </c>
    </row>
    <row r="6" spans="1:15">
      <c r="A6" s="33" t="s">
        <v>6</v>
      </c>
      <c r="B6" s="34">
        <v>52</v>
      </c>
      <c r="C6" s="35">
        <v>18.75</v>
      </c>
      <c r="D6" s="36">
        <v>40</v>
      </c>
      <c r="E6" s="37">
        <f t="shared" ref="E6:E11" si="0">B6*C6*D6</f>
        <v>39000</v>
      </c>
      <c r="F6" s="38">
        <f>IF(E6&gt;=$I$2,$I$2,E6)</f>
        <v>14000</v>
      </c>
      <c r="G6" s="38">
        <f t="shared" ref="G6:G11" si="1">F6*$G$4</f>
        <v>140</v>
      </c>
      <c r="H6" s="38">
        <f>IF(E6&gt;=$J$2,$J$2,E6)</f>
        <v>7000</v>
      </c>
      <c r="I6" s="38">
        <f t="shared" ref="I6:I11" si="2">H6*$I$4</f>
        <v>0</v>
      </c>
      <c r="J6" s="39">
        <f>(G6+I6)/12</f>
        <v>11.666666666666666</v>
      </c>
      <c r="K6" s="37">
        <f t="shared" ref="K6:K11" si="3">E6/12</f>
        <v>3250</v>
      </c>
      <c r="L6" s="37">
        <f>K6*$L$4</f>
        <v>248.625</v>
      </c>
      <c r="M6" s="35">
        <v>625</v>
      </c>
      <c r="N6" s="37">
        <f>J6+K6+L6+M6</f>
        <v>4135.2916666666661</v>
      </c>
    </row>
    <row r="7" spans="1:15">
      <c r="A7" s="33" t="s">
        <v>78</v>
      </c>
      <c r="B7" s="34">
        <v>52</v>
      </c>
      <c r="C7" s="35">
        <v>11</v>
      </c>
      <c r="D7" s="36">
        <v>20</v>
      </c>
      <c r="E7" s="37">
        <f t="shared" si="0"/>
        <v>11440</v>
      </c>
      <c r="F7" s="38">
        <f t="shared" ref="F7:F11" si="4">IF(E7&gt;=$I$2,$I$2,E7)</f>
        <v>11440</v>
      </c>
      <c r="G7" s="38">
        <f t="shared" si="1"/>
        <v>114.4</v>
      </c>
      <c r="H7" s="38">
        <f t="shared" ref="H7:H11" si="5">IF(E7&gt;=$J$2,$J$2,E7)</f>
        <v>7000</v>
      </c>
      <c r="I7" s="38">
        <f t="shared" si="2"/>
        <v>0</v>
      </c>
      <c r="J7" s="39">
        <f t="shared" ref="J7:J11" si="6">(G7+I7)/12</f>
        <v>9.5333333333333332</v>
      </c>
      <c r="K7" s="37">
        <f t="shared" si="3"/>
        <v>953.33333333333337</v>
      </c>
      <c r="L7" s="37">
        <f t="shared" ref="L7:L11" si="7">K7*$L$4</f>
        <v>72.930000000000007</v>
      </c>
      <c r="M7" s="35">
        <v>0</v>
      </c>
      <c r="N7" s="37">
        <f t="shared" ref="N7:N10" si="8">J7+K7+L7+M7</f>
        <v>1035.7966666666666</v>
      </c>
    </row>
    <row r="8" spans="1:15">
      <c r="A8" s="33" t="s">
        <v>146</v>
      </c>
      <c r="B8" s="34">
        <v>52</v>
      </c>
      <c r="C8" s="35">
        <v>0</v>
      </c>
      <c r="D8" s="36">
        <v>0</v>
      </c>
      <c r="E8" s="37">
        <f t="shared" si="0"/>
        <v>0</v>
      </c>
      <c r="F8" s="38">
        <f t="shared" si="4"/>
        <v>0</v>
      </c>
      <c r="G8" s="38">
        <f t="shared" si="1"/>
        <v>0</v>
      </c>
      <c r="H8" s="38">
        <f t="shared" si="5"/>
        <v>0</v>
      </c>
      <c r="I8" s="38">
        <f t="shared" si="2"/>
        <v>0</v>
      </c>
      <c r="J8" s="39">
        <f t="shared" si="6"/>
        <v>0</v>
      </c>
      <c r="K8" s="37">
        <f t="shared" si="3"/>
        <v>0</v>
      </c>
      <c r="L8" s="37">
        <f t="shared" si="7"/>
        <v>0</v>
      </c>
      <c r="M8" s="35">
        <v>0</v>
      </c>
      <c r="N8" s="37">
        <f t="shared" si="8"/>
        <v>0</v>
      </c>
    </row>
    <row r="9" spans="1:15">
      <c r="A9" s="33" t="s">
        <v>7</v>
      </c>
      <c r="B9" s="34">
        <v>52</v>
      </c>
      <c r="C9" s="35">
        <v>0</v>
      </c>
      <c r="D9" s="36">
        <v>0</v>
      </c>
      <c r="E9" s="37">
        <f t="shared" si="0"/>
        <v>0</v>
      </c>
      <c r="F9" s="38">
        <f t="shared" si="4"/>
        <v>0</v>
      </c>
      <c r="G9" s="38">
        <f t="shared" si="1"/>
        <v>0</v>
      </c>
      <c r="H9" s="38">
        <f t="shared" si="5"/>
        <v>0</v>
      </c>
      <c r="I9" s="38">
        <f t="shared" si="2"/>
        <v>0</v>
      </c>
      <c r="J9" s="39">
        <f t="shared" si="6"/>
        <v>0</v>
      </c>
      <c r="K9" s="37">
        <f t="shared" si="3"/>
        <v>0</v>
      </c>
      <c r="L9" s="37">
        <f t="shared" si="7"/>
        <v>0</v>
      </c>
      <c r="M9" s="35">
        <v>0</v>
      </c>
      <c r="N9" s="37">
        <f t="shared" si="8"/>
        <v>0</v>
      </c>
    </row>
    <row r="10" spans="1:15">
      <c r="A10" s="33" t="s">
        <v>8</v>
      </c>
      <c r="B10" s="34">
        <v>52</v>
      </c>
      <c r="C10" s="35">
        <v>0</v>
      </c>
      <c r="D10" s="36">
        <v>0</v>
      </c>
      <c r="E10" s="37">
        <f t="shared" si="0"/>
        <v>0</v>
      </c>
      <c r="F10" s="38">
        <f t="shared" si="4"/>
        <v>0</v>
      </c>
      <c r="G10" s="38">
        <f t="shared" si="1"/>
        <v>0</v>
      </c>
      <c r="H10" s="38">
        <f t="shared" si="5"/>
        <v>0</v>
      </c>
      <c r="I10" s="38">
        <f t="shared" si="2"/>
        <v>0</v>
      </c>
      <c r="J10" s="39">
        <f t="shared" si="6"/>
        <v>0</v>
      </c>
      <c r="K10" s="37">
        <f t="shared" si="3"/>
        <v>0</v>
      </c>
      <c r="L10" s="37">
        <f t="shared" si="7"/>
        <v>0</v>
      </c>
      <c r="M10" s="35">
        <v>0</v>
      </c>
      <c r="N10" s="37">
        <f t="shared" si="8"/>
        <v>0</v>
      </c>
    </row>
    <row r="11" spans="1:15" ht="19">
      <c r="A11" s="33" t="s">
        <v>9</v>
      </c>
      <c r="B11" s="34">
        <v>52</v>
      </c>
      <c r="C11" s="35">
        <v>0</v>
      </c>
      <c r="D11" s="36">
        <v>0</v>
      </c>
      <c r="E11" s="40">
        <f t="shared" si="0"/>
        <v>0</v>
      </c>
      <c r="F11" s="38">
        <f t="shared" si="4"/>
        <v>0</v>
      </c>
      <c r="G11" s="38">
        <f t="shared" si="1"/>
        <v>0</v>
      </c>
      <c r="H11" s="38">
        <f t="shared" si="5"/>
        <v>0</v>
      </c>
      <c r="I11" s="38">
        <f t="shared" si="2"/>
        <v>0</v>
      </c>
      <c r="J11" s="40">
        <f t="shared" si="6"/>
        <v>0</v>
      </c>
      <c r="K11" s="40">
        <f t="shared" si="3"/>
        <v>0</v>
      </c>
      <c r="L11" s="40">
        <f t="shared" si="7"/>
        <v>0</v>
      </c>
      <c r="M11" s="41">
        <v>0</v>
      </c>
      <c r="N11" s="40">
        <f>J11+K11+L11+M11</f>
        <v>0</v>
      </c>
    </row>
    <row r="12" spans="1:15" s="45" customFormat="1">
      <c r="A12" s="29"/>
      <c r="B12" s="29"/>
      <c r="C12" s="29"/>
      <c r="D12" s="29"/>
      <c r="E12" s="42">
        <f t="shared" ref="E12:M12" si="9">SUM(E6:E11)</f>
        <v>50440</v>
      </c>
      <c r="F12" s="43">
        <f t="shared" si="9"/>
        <v>25440</v>
      </c>
      <c r="G12" s="43">
        <f t="shared" si="9"/>
        <v>254.4</v>
      </c>
      <c r="H12" s="43">
        <f t="shared" si="9"/>
        <v>14000</v>
      </c>
      <c r="I12" s="43">
        <f t="shared" si="9"/>
        <v>0</v>
      </c>
      <c r="J12" s="42">
        <f t="shared" si="9"/>
        <v>21.2</v>
      </c>
      <c r="K12" s="42">
        <f t="shared" si="9"/>
        <v>4203.333333333333</v>
      </c>
      <c r="L12" s="42">
        <f t="shared" si="9"/>
        <v>321.55500000000001</v>
      </c>
      <c r="M12" s="42">
        <f t="shared" si="9"/>
        <v>625</v>
      </c>
      <c r="N12" s="42">
        <f>K12+L12+M12</f>
        <v>5149.8883333333333</v>
      </c>
      <c r="O12" s="44"/>
    </row>
    <row r="13" spans="1:15">
      <c r="A13" s="23" t="s">
        <v>37</v>
      </c>
      <c r="B13" s="33"/>
      <c r="C13" s="33"/>
      <c r="D13" s="33"/>
      <c r="E13" s="46"/>
      <c r="K13" s="46"/>
      <c r="L13" s="46"/>
      <c r="M13" s="46"/>
      <c r="N13" s="46"/>
    </row>
    <row r="14" spans="1:15" ht="35">
      <c r="A14" s="29" t="s">
        <v>49</v>
      </c>
      <c r="B14" s="30" t="s">
        <v>0</v>
      </c>
      <c r="C14" s="30" t="s">
        <v>27</v>
      </c>
      <c r="D14" s="30" t="s">
        <v>1</v>
      </c>
      <c r="E14" s="30" t="s">
        <v>2</v>
      </c>
      <c r="F14" s="31" t="s">
        <v>30</v>
      </c>
      <c r="G14" s="31" t="s">
        <v>31</v>
      </c>
      <c r="H14" s="31" t="s">
        <v>28</v>
      </c>
      <c r="I14" s="31" t="s">
        <v>29</v>
      </c>
      <c r="J14" s="32" t="s">
        <v>50</v>
      </c>
      <c r="K14" s="30" t="s">
        <v>75</v>
      </c>
      <c r="L14" s="30" t="s">
        <v>48</v>
      </c>
      <c r="M14" s="30" t="s">
        <v>76</v>
      </c>
      <c r="N14" s="30" t="s">
        <v>5</v>
      </c>
    </row>
    <row r="15" spans="1:15">
      <c r="A15" s="47" t="s">
        <v>38</v>
      </c>
    </row>
    <row r="16" spans="1:15">
      <c r="A16" s="2" t="s">
        <v>41</v>
      </c>
      <c r="B16" s="34">
        <v>52</v>
      </c>
      <c r="C16" s="35">
        <v>10.5</v>
      </c>
      <c r="D16" s="36">
        <v>30</v>
      </c>
      <c r="E16" s="37">
        <f>B16*C16*D16</f>
        <v>16380</v>
      </c>
      <c r="F16" s="38">
        <f>IF(E16&gt;=14000,14000,E16)</f>
        <v>14000</v>
      </c>
      <c r="G16" s="38">
        <f>F16*$G$4</f>
        <v>140</v>
      </c>
      <c r="H16" s="38">
        <f>IF(E16&gt;=7000,7000,E16)</f>
        <v>7000</v>
      </c>
      <c r="I16" s="38">
        <f>H16*$I$4</f>
        <v>0</v>
      </c>
      <c r="J16" s="39">
        <f>(G16+I16)/12</f>
        <v>11.666666666666666</v>
      </c>
      <c r="K16" s="37">
        <f>E16/12</f>
        <v>1365</v>
      </c>
      <c r="L16" s="37">
        <f t="shared" ref="L16:L19" si="10">K16*$L$4</f>
        <v>104.4225</v>
      </c>
      <c r="M16" s="35">
        <v>0</v>
      </c>
      <c r="N16" s="37">
        <f t="shared" ref="N16:N19" si="11">J16+K16+L16+M16</f>
        <v>1481.0891666666666</v>
      </c>
    </row>
    <row r="17" spans="1:15">
      <c r="A17" s="2" t="s">
        <v>42</v>
      </c>
      <c r="B17" s="34">
        <v>52</v>
      </c>
      <c r="C17" s="35">
        <v>8.5</v>
      </c>
      <c r="D17" s="36">
        <v>30</v>
      </c>
      <c r="E17" s="37">
        <f>B17*C17*D17</f>
        <v>13260</v>
      </c>
      <c r="F17" s="38">
        <f>IF(E17&gt;=14000,14000,E17)</f>
        <v>13260</v>
      </c>
      <c r="G17" s="38">
        <f>F17*$G$4</f>
        <v>132.6</v>
      </c>
      <c r="H17" s="38">
        <f>IF(E17&gt;=7000,7000,E17)</f>
        <v>7000</v>
      </c>
      <c r="I17" s="38">
        <f>H17*$I$4</f>
        <v>0</v>
      </c>
      <c r="J17" s="39">
        <f t="shared" ref="J17:J19" si="12">(G17+I17)/12</f>
        <v>11.049999999999999</v>
      </c>
      <c r="K17" s="37">
        <f>E17/12</f>
        <v>1105</v>
      </c>
      <c r="L17" s="37">
        <f t="shared" si="10"/>
        <v>84.532499999999999</v>
      </c>
      <c r="M17" s="35">
        <v>0</v>
      </c>
      <c r="N17" s="37">
        <f t="shared" si="11"/>
        <v>1200.5825</v>
      </c>
    </row>
    <row r="18" spans="1:15">
      <c r="A18" s="2" t="s">
        <v>43</v>
      </c>
      <c r="B18" s="34">
        <v>52</v>
      </c>
      <c r="C18" s="35">
        <v>0</v>
      </c>
      <c r="D18" s="36">
        <v>0</v>
      </c>
      <c r="E18" s="37">
        <f>B18*C18*D18</f>
        <v>0</v>
      </c>
      <c r="F18" s="38">
        <f>IF(E18&gt;=14000,14000,E18)</f>
        <v>0</v>
      </c>
      <c r="G18" s="38">
        <f>F18*$G$4</f>
        <v>0</v>
      </c>
      <c r="H18" s="38">
        <f>IF(E18&gt;=7000,7000,E18)</f>
        <v>0</v>
      </c>
      <c r="I18" s="38">
        <f>H18*$I$4</f>
        <v>0</v>
      </c>
      <c r="J18" s="39">
        <f t="shared" si="12"/>
        <v>0</v>
      </c>
      <c r="K18" s="37">
        <f>E18/12</f>
        <v>0</v>
      </c>
      <c r="L18" s="37">
        <f t="shared" si="10"/>
        <v>0</v>
      </c>
      <c r="M18" s="35">
        <v>0</v>
      </c>
      <c r="N18" s="37">
        <f t="shared" si="11"/>
        <v>0</v>
      </c>
    </row>
    <row r="19" spans="1:15">
      <c r="A19" s="2" t="s">
        <v>44</v>
      </c>
      <c r="B19" s="34">
        <v>52</v>
      </c>
      <c r="C19" s="35">
        <v>0</v>
      </c>
      <c r="D19" s="36">
        <v>0</v>
      </c>
      <c r="E19" s="37">
        <f>B19*C19*D19</f>
        <v>0</v>
      </c>
      <c r="F19" s="38">
        <f>IF(E19&gt;=14000,14000,E19)</f>
        <v>0</v>
      </c>
      <c r="G19" s="38">
        <f>F19*$G$4</f>
        <v>0</v>
      </c>
      <c r="H19" s="38">
        <f>IF(E19&gt;=7000,7000,E19)</f>
        <v>0</v>
      </c>
      <c r="I19" s="38">
        <f>H19*$I$4</f>
        <v>0</v>
      </c>
      <c r="J19" s="39">
        <f t="shared" si="12"/>
        <v>0</v>
      </c>
      <c r="K19" s="37">
        <f>E19/12</f>
        <v>0</v>
      </c>
      <c r="L19" s="37">
        <f t="shared" si="10"/>
        <v>0</v>
      </c>
      <c r="M19" s="35">
        <v>0</v>
      </c>
      <c r="N19" s="37">
        <f t="shared" si="11"/>
        <v>0</v>
      </c>
    </row>
    <row r="20" spans="1:15">
      <c r="B20" s="34"/>
      <c r="C20" s="35"/>
      <c r="D20" s="36"/>
      <c r="E20" s="37"/>
      <c r="F20" s="39"/>
      <c r="G20" s="39"/>
      <c r="H20" s="39"/>
      <c r="I20" s="39"/>
      <c r="J20" s="39"/>
      <c r="K20" s="37"/>
      <c r="L20" s="37"/>
      <c r="M20" s="48" t="s">
        <v>26</v>
      </c>
      <c r="N20" s="42">
        <f>SUM(N16:N19)</f>
        <v>2681.6716666666666</v>
      </c>
      <c r="O20" s="49"/>
    </row>
    <row r="22" spans="1:15">
      <c r="A22" s="47" t="s">
        <v>39</v>
      </c>
    </row>
    <row r="23" spans="1:15">
      <c r="A23" s="2" t="s">
        <v>41</v>
      </c>
      <c r="B23" s="34">
        <v>52</v>
      </c>
      <c r="C23" s="35">
        <v>10.5</v>
      </c>
      <c r="D23" s="36">
        <v>40</v>
      </c>
      <c r="E23" s="37">
        <f>B23*C23*D23</f>
        <v>21840</v>
      </c>
      <c r="F23" s="38">
        <f>IF(E23&gt;=14000,14000,E23)</f>
        <v>14000</v>
      </c>
      <c r="G23" s="38">
        <f>F23*$G$4</f>
        <v>140</v>
      </c>
      <c r="H23" s="38">
        <f>IF(E23&gt;=7000,7000,E23)</f>
        <v>7000</v>
      </c>
      <c r="I23" s="38">
        <f>H23*$I$4</f>
        <v>0</v>
      </c>
      <c r="J23" s="39">
        <f>(G23+I23)/12</f>
        <v>11.666666666666666</v>
      </c>
      <c r="K23" s="37">
        <f>E23/12</f>
        <v>1820</v>
      </c>
      <c r="L23" s="37">
        <f t="shared" ref="L23:L26" si="13">K23*$L$4</f>
        <v>139.22999999999999</v>
      </c>
      <c r="M23" s="35">
        <v>625</v>
      </c>
      <c r="N23" s="37">
        <f t="shared" ref="N23:N26" si="14">J23+K23+L23+M23</f>
        <v>2595.8966666666665</v>
      </c>
    </row>
    <row r="24" spans="1:15">
      <c r="A24" s="2" t="s">
        <v>42</v>
      </c>
      <c r="B24" s="34">
        <v>52</v>
      </c>
      <c r="C24" s="35">
        <v>8.25</v>
      </c>
      <c r="D24" s="36">
        <v>30</v>
      </c>
      <c r="E24" s="37">
        <f>B24*C24*D24</f>
        <v>12870</v>
      </c>
      <c r="F24" s="38">
        <f>IF(E24&gt;=14000,14000,E24)</f>
        <v>12870</v>
      </c>
      <c r="G24" s="38">
        <f>F24*$G$4</f>
        <v>128.69999999999999</v>
      </c>
      <c r="H24" s="38">
        <f>IF(E24&gt;=7000,7000,E24)</f>
        <v>7000</v>
      </c>
      <c r="I24" s="38">
        <f>H24*$I$4</f>
        <v>0</v>
      </c>
      <c r="J24" s="39">
        <f t="shared" ref="J24:J26" si="15">(G24+I24)/12</f>
        <v>10.725</v>
      </c>
      <c r="K24" s="37">
        <f>E24/12</f>
        <v>1072.5</v>
      </c>
      <c r="L24" s="37">
        <f t="shared" si="13"/>
        <v>82.046250000000001</v>
      </c>
      <c r="M24" s="35">
        <v>0</v>
      </c>
      <c r="N24" s="37">
        <f t="shared" si="14"/>
        <v>1165.27125</v>
      </c>
    </row>
    <row r="25" spans="1:15">
      <c r="A25" s="2" t="s">
        <v>43</v>
      </c>
      <c r="B25" s="34">
        <v>52</v>
      </c>
      <c r="C25" s="35">
        <v>8</v>
      </c>
      <c r="D25" s="36">
        <v>30</v>
      </c>
      <c r="E25" s="37">
        <f>B25*C25*D25</f>
        <v>12480</v>
      </c>
      <c r="F25" s="38">
        <f>IF(E25&gt;=14000,14000,E25)</f>
        <v>12480</v>
      </c>
      <c r="G25" s="38">
        <f>F25*$G$4</f>
        <v>124.8</v>
      </c>
      <c r="H25" s="38">
        <f>IF(E25&gt;=7000,7000,E25)</f>
        <v>7000</v>
      </c>
      <c r="I25" s="38">
        <f>H25*$I$4</f>
        <v>0</v>
      </c>
      <c r="J25" s="39">
        <f t="shared" si="15"/>
        <v>10.4</v>
      </c>
      <c r="K25" s="37">
        <f>E25/12</f>
        <v>1040</v>
      </c>
      <c r="L25" s="37">
        <f t="shared" si="13"/>
        <v>79.56</v>
      </c>
      <c r="M25" s="35">
        <v>0</v>
      </c>
      <c r="N25" s="37">
        <f t="shared" si="14"/>
        <v>1129.96</v>
      </c>
    </row>
    <row r="26" spans="1:15">
      <c r="A26" s="2" t="s">
        <v>44</v>
      </c>
      <c r="B26" s="34">
        <v>52</v>
      </c>
      <c r="C26" s="35">
        <v>0</v>
      </c>
      <c r="D26" s="36">
        <v>0</v>
      </c>
      <c r="E26" s="37">
        <f>B26*C26*D26</f>
        <v>0</v>
      </c>
      <c r="F26" s="38">
        <f>IF(E26&gt;=14000,14000,E26)</f>
        <v>0</v>
      </c>
      <c r="G26" s="38">
        <f>F26*$G$4</f>
        <v>0</v>
      </c>
      <c r="H26" s="38">
        <f>IF(E26&gt;=7000,7000,E26)</f>
        <v>0</v>
      </c>
      <c r="I26" s="38">
        <f>H26*$I$4</f>
        <v>0</v>
      </c>
      <c r="J26" s="39">
        <f t="shared" si="15"/>
        <v>0</v>
      </c>
      <c r="K26" s="37">
        <f>E26/12</f>
        <v>0</v>
      </c>
      <c r="L26" s="37">
        <f t="shared" si="13"/>
        <v>0</v>
      </c>
      <c r="M26" s="35">
        <v>0</v>
      </c>
      <c r="N26" s="37">
        <f t="shared" si="14"/>
        <v>0</v>
      </c>
    </row>
    <row r="27" spans="1:15">
      <c r="B27" s="34"/>
      <c r="C27" s="35"/>
      <c r="D27" s="36"/>
      <c r="E27" s="37"/>
      <c r="F27" s="39"/>
      <c r="G27" s="39"/>
      <c r="H27" s="39"/>
      <c r="I27" s="39"/>
      <c r="J27" s="39"/>
      <c r="K27" s="37"/>
      <c r="L27" s="37"/>
      <c r="M27" s="48" t="s">
        <v>26</v>
      </c>
      <c r="N27" s="42">
        <f>SUM(N23:N26)</f>
        <v>4891.1279166666664</v>
      </c>
    </row>
    <row r="29" spans="1:15">
      <c r="A29" s="47" t="s">
        <v>40</v>
      </c>
    </row>
    <row r="30" spans="1:15">
      <c r="A30" s="2" t="s">
        <v>41</v>
      </c>
      <c r="B30" s="34">
        <v>52</v>
      </c>
      <c r="C30" s="35">
        <v>10</v>
      </c>
      <c r="D30" s="36">
        <v>30</v>
      </c>
      <c r="E30" s="37">
        <f>B30*C30*D30</f>
        <v>15600</v>
      </c>
      <c r="F30" s="38">
        <f>IF(E30&gt;=14000,14000,E30)</f>
        <v>14000</v>
      </c>
      <c r="G30" s="38">
        <f>F30*$G$4</f>
        <v>140</v>
      </c>
      <c r="H30" s="38">
        <f>IF(E30&gt;=7000,7000,E30)</f>
        <v>7000</v>
      </c>
      <c r="I30" s="38">
        <f>H30*$I$4</f>
        <v>0</v>
      </c>
      <c r="J30" s="39">
        <f>(G30+I30)/12</f>
        <v>11.666666666666666</v>
      </c>
      <c r="K30" s="37">
        <f>E30/12</f>
        <v>1300</v>
      </c>
      <c r="L30" s="37">
        <f t="shared" ref="L30:L33" si="16">K30*$L$4</f>
        <v>99.45</v>
      </c>
      <c r="M30" s="35">
        <v>0</v>
      </c>
      <c r="N30" s="37">
        <f t="shared" ref="N30:N33" si="17">J30+K30+L30+M30</f>
        <v>1411.1166666666668</v>
      </c>
    </row>
    <row r="31" spans="1:15">
      <c r="A31" s="2" t="s">
        <v>42</v>
      </c>
      <c r="B31" s="34">
        <v>52</v>
      </c>
      <c r="C31" s="35">
        <v>8.5</v>
      </c>
      <c r="D31" s="36">
        <v>30</v>
      </c>
      <c r="E31" s="37">
        <f>B31*C31*D31</f>
        <v>13260</v>
      </c>
      <c r="F31" s="38">
        <f>IF(E31&gt;=14000,14000,E31)</f>
        <v>13260</v>
      </c>
      <c r="G31" s="38">
        <f>F31*$G$4</f>
        <v>132.6</v>
      </c>
      <c r="H31" s="38">
        <f>IF(E31&gt;=7000,7000,E31)</f>
        <v>7000</v>
      </c>
      <c r="I31" s="38">
        <f>H31*$I$4</f>
        <v>0</v>
      </c>
      <c r="J31" s="39">
        <f t="shared" ref="J31:J33" si="18">(G31+I31)/12</f>
        <v>11.049999999999999</v>
      </c>
      <c r="K31" s="37">
        <f>E31/12</f>
        <v>1105</v>
      </c>
      <c r="L31" s="37">
        <f t="shared" si="16"/>
        <v>84.532499999999999</v>
      </c>
      <c r="M31" s="35">
        <v>0</v>
      </c>
      <c r="N31" s="37">
        <f t="shared" si="17"/>
        <v>1200.5825</v>
      </c>
    </row>
    <row r="32" spans="1:15">
      <c r="A32" s="2" t="s">
        <v>43</v>
      </c>
      <c r="B32" s="34">
        <v>52</v>
      </c>
      <c r="C32" s="35">
        <v>7.25</v>
      </c>
      <c r="D32" s="36">
        <v>25</v>
      </c>
      <c r="E32" s="37">
        <f>B32*C32*D32</f>
        <v>9425</v>
      </c>
      <c r="F32" s="38">
        <f>IF(E32&gt;=14000,14000,E32)</f>
        <v>9425</v>
      </c>
      <c r="G32" s="38">
        <f>F32*$G$4</f>
        <v>94.25</v>
      </c>
      <c r="H32" s="38">
        <f>IF(E32&gt;=7000,7000,E32)</f>
        <v>7000</v>
      </c>
      <c r="I32" s="38">
        <f>H32*$I$4</f>
        <v>0</v>
      </c>
      <c r="J32" s="39">
        <f t="shared" si="18"/>
        <v>7.854166666666667</v>
      </c>
      <c r="K32" s="37">
        <f>E32/12</f>
        <v>785.41666666666663</v>
      </c>
      <c r="L32" s="37">
        <f t="shared" si="16"/>
        <v>60.084374999999994</v>
      </c>
      <c r="M32" s="35">
        <v>0</v>
      </c>
      <c r="N32" s="37">
        <f t="shared" si="17"/>
        <v>853.35520833333328</v>
      </c>
    </row>
    <row r="33" spans="1:14">
      <c r="A33" s="2" t="s">
        <v>44</v>
      </c>
      <c r="B33" s="34">
        <v>52</v>
      </c>
      <c r="C33" s="35">
        <v>0</v>
      </c>
      <c r="D33" s="36">
        <v>0</v>
      </c>
      <c r="E33" s="37">
        <f>B33*C33*D33</f>
        <v>0</v>
      </c>
      <c r="F33" s="38">
        <f>IF(E33&gt;=14000,14000,E33)</f>
        <v>0</v>
      </c>
      <c r="G33" s="38">
        <f>F33*$G$4</f>
        <v>0</v>
      </c>
      <c r="H33" s="38">
        <f>IF(E33&gt;=7000,7000,E33)</f>
        <v>0</v>
      </c>
      <c r="I33" s="38">
        <f>H33*$I$4</f>
        <v>0</v>
      </c>
      <c r="J33" s="39">
        <f t="shared" si="18"/>
        <v>0</v>
      </c>
      <c r="K33" s="37">
        <f>E33/12</f>
        <v>0</v>
      </c>
      <c r="L33" s="37">
        <f t="shared" si="16"/>
        <v>0</v>
      </c>
      <c r="M33" s="35">
        <v>0</v>
      </c>
      <c r="N33" s="37">
        <f t="shared" si="17"/>
        <v>0</v>
      </c>
    </row>
    <row r="34" spans="1:14">
      <c r="B34" s="34"/>
      <c r="C34" s="35"/>
      <c r="D34" s="36"/>
      <c r="E34" s="37"/>
      <c r="F34" s="39"/>
      <c r="G34" s="39"/>
      <c r="H34" s="39"/>
      <c r="I34" s="39"/>
      <c r="J34" s="39"/>
      <c r="K34" s="37"/>
      <c r="L34" s="37"/>
      <c r="M34" s="48" t="s">
        <v>26</v>
      </c>
      <c r="N34" s="42">
        <f>SUM(N30:N33)</f>
        <v>3465.0543750000002</v>
      </c>
    </row>
    <row r="36" spans="1:14">
      <c r="A36" s="47" t="s">
        <v>45</v>
      </c>
      <c r="B36" s="50" t="s">
        <v>101</v>
      </c>
    </row>
    <row r="37" spans="1:14">
      <c r="A37" s="2" t="s">
        <v>41</v>
      </c>
      <c r="B37" s="34">
        <v>36</v>
      </c>
      <c r="C37" s="35">
        <v>9.75</v>
      </c>
      <c r="D37" s="36">
        <v>30</v>
      </c>
      <c r="E37" s="37">
        <f>B37*C37*D37</f>
        <v>10530</v>
      </c>
      <c r="F37" s="38">
        <f>IF(E37&gt;=14000,14000,E37)</f>
        <v>10530</v>
      </c>
      <c r="G37" s="38">
        <f>F37*$G$4</f>
        <v>105.3</v>
      </c>
      <c r="H37" s="38">
        <f>IF(E37&gt;=7000,7000,E37)</f>
        <v>7000</v>
      </c>
      <c r="I37" s="38">
        <f>H37*$I$4</f>
        <v>0</v>
      </c>
      <c r="J37" s="39">
        <f>(G37+I37)/12</f>
        <v>8.7750000000000004</v>
      </c>
      <c r="K37" s="37">
        <f>E37/12</f>
        <v>877.5</v>
      </c>
      <c r="L37" s="37">
        <f t="shared" ref="L37:L40" si="19">K37*$L$4</f>
        <v>67.128749999999997</v>
      </c>
      <c r="M37" s="35">
        <v>0</v>
      </c>
      <c r="N37" s="37">
        <f t="shared" ref="N37:N40" si="20">J37+K37+L37+M37</f>
        <v>953.40374999999995</v>
      </c>
    </row>
    <row r="38" spans="1:14">
      <c r="A38" s="2" t="s">
        <v>42</v>
      </c>
      <c r="B38" s="34">
        <v>36</v>
      </c>
      <c r="C38" s="35">
        <v>8.5</v>
      </c>
      <c r="D38" s="36">
        <v>24</v>
      </c>
      <c r="E38" s="37">
        <f>B38*C38*D38</f>
        <v>7344</v>
      </c>
      <c r="F38" s="38">
        <f>IF(E38&gt;=14000,14000,E38)</f>
        <v>7344</v>
      </c>
      <c r="G38" s="38">
        <f>F38*$G$4</f>
        <v>73.44</v>
      </c>
      <c r="H38" s="38">
        <f>IF(E38&gt;=7000,7000,E38)</f>
        <v>7000</v>
      </c>
      <c r="I38" s="38">
        <f>H38*$I$4</f>
        <v>0</v>
      </c>
      <c r="J38" s="39">
        <f t="shared" ref="J38:J40" si="21">(G38+I38)/12</f>
        <v>6.12</v>
      </c>
      <c r="K38" s="37">
        <f>E38/12</f>
        <v>612</v>
      </c>
      <c r="L38" s="37">
        <f t="shared" si="19"/>
        <v>46.817999999999998</v>
      </c>
      <c r="M38" s="35">
        <v>0</v>
      </c>
      <c r="N38" s="37">
        <f t="shared" si="20"/>
        <v>664.93799999999999</v>
      </c>
    </row>
    <row r="39" spans="1:14">
      <c r="A39" s="2" t="s">
        <v>43</v>
      </c>
      <c r="B39" s="34">
        <v>36</v>
      </c>
      <c r="C39" s="35">
        <v>0</v>
      </c>
      <c r="D39" s="36">
        <v>0</v>
      </c>
      <c r="E39" s="37">
        <f>B39*C39*D39</f>
        <v>0</v>
      </c>
      <c r="F39" s="38">
        <f>IF(E39&gt;=14000,14000,E39)</f>
        <v>0</v>
      </c>
      <c r="G39" s="38">
        <f>F39*$G$4</f>
        <v>0</v>
      </c>
      <c r="H39" s="38">
        <f>IF(E39&gt;=7000,7000,E39)</f>
        <v>0</v>
      </c>
      <c r="I39" s="38">
        <f>H39*$I$4</f>
        <v>0</v>
      </c>
      <c r="J39" s="39">
        <f t="shared" si="21"/>
        <v>0</v>
      </c>
      <c r="K39" s="37">
        <f>E39/12</f>
        <v>0</v>
      </c>
      <c r="L39" s="37">
        <f t="shared" si="19"/>
        <v>0</v>
      </c>
      <c r="M39" s="35">
        <v>0</v>
      </c>
      <c r="N39" s="37">
        <f t="shared" si="20"/>
        <v>0</v>
      </c>
    </row>
    <row r="40" spans="1:14">
      <c r="A40" s="2" t="s">
        <v>44</v>
      </c>
      <c r="B40" s="34">
        <v>36</v>
      </c>
      <c r="C40" s="35">
        <v>0</v>
      </c>
      <c r="D40" s="36">
        <v>0</v>
      </c>
      <c r="E40" s="37">
        <f>B40*C40*D40</f>
        <v>0</v>
      </c>
      <c r="F40" s="38">
        <f>IF(E40&gt;=14000,14000,E40)</f>
        <v>0</v>
      </c>
      <c r="G40" s="38">
        <f>F40*$G$4</f>
        <v>0</v>
      </c>
      <c r="H40" s="38">
        <f>IF(E40&gt;=7000,7000,E40)</f>
        <v>0</v>
      </c>
      <c r="I40" s="38">
        <f>H40*$I$4</f>
        <v>0</v>
      </c>
      <c r="J40" s="39">
        <f t="shared" si="21"/>
        <v>0</v>
      </c>
      <c r="K40" s="37">
        <f>E40/12</f>
        <v>0</v>
      </c>
      <c r="L40" s="37">
        <f t="shared" si="19"/>
        <v>0</v>
      </c>
      <c r="M40" s="35">
        <v>0</v>
      </c>
      <c r="N40" s="37">
        <f t="shared" si="20"/>
        <v>0</v>
      </c>
    </row>
    <row r="41" spans="1:14">
      <c r="B41" s="34"/>
      <c r="C41" s="35"/>
      <c r="D41" s="36"/>
      <c r="E41" s="37"/>
      <c r="F41" s="39"/>
      <c r="G41" s="39"/>
      <c r="H41" s="39"/>
      <c r="I41" s="39"/>
      <c r="J41" s="39"/>
      <c r="K41" s="37"/>
      <c r="L41" s="37"/>
      <c r="M41" s="48" t="s">
        <v>26</v>
      </c>
      <c r="N41" s="42">
        <f>SUM(N37:N40)</f>
        <v>1618.34175</v>
      </c>
    </row>
    <row r="43" spans="1:14">
      <c r="A43" s="47" t="s">
        <v>46</v>
      </c>
      <c r="B43" s="50" t="s">
        <v>102</v>
      </c>
    </row>
    <row r="44" spans="1:14">
      <c r="A44" s="2" t="s">
        <v>41</v>
      </c>
      <c r="B44" s="34">
        <v>12</v>
      </c>
      <c r="C44" s="35">
        <v>9.75</v>
      </c>
      <c r="D44" s="36">
        <v>30</v>
      </c>
      <c r="E44" s="37">
        <f>B44*C44*D44</f>
        <v>3510</v>
      </c>
      <c r="F44" s="38">
        <f>IF(E44&gt;=14000,14000,E44)</f>
        <v>3510</v>
      </c>
      <c r="G44" s="38">
        <f>F44*$G$4</f>
        <v>35.1</v>
      </c>
      <c r="H44" s="38">
        <f>IF(E44&gt;=7000,7000,E44)</f>
        <v>3510</v>
      </c>
      <c r="I44" s="38">
        <f>H44*$I$4</f>
        <v>0</v>
      </c>
      <c r="J44" s="39">
        <f>(G44+I44)/12</f>
        <v>2.9250000000000003</v>
      </c>
      <c r="K44" s="37">
        <f>E44/12</f>
        <v>292.5</v>
      </c>
      <c r="L44" s="37">
        <f t="shared" ref="L44:L47" si="22">K44*$L$4</f>
        <v>22.376249999999999</v>
      </c>
      <c r="M44" s="35">
        <v>0</v>
      </c>
      <c r="N44" s="37">
        <f t="shared" ref="N44:N47" si="23">J44+K44+L44+M44</f>
        <v>317.80124999999998</v>
      </c>
    </row>
    <row r="45" spans="1:14">
      <c r="A45" s="2" t="s">
        <v>42</v>
      </c>
      <c r="B45" s="34">
        <v>12</v>
      </c>
      <c r="C45" s="35">
        <v>8.5</v>
      </c>
      <c r="D45" s="36">
        <v>24</v>
      </c>
      <c r="E45" s="37">
        <f>B45*C45*D45</f>
        <v>2448</v>
      </c>
      <c r="F45" s="38">
        <f>IF(E45&gt;=14000,14000,E45)</f>
        <v>2448</v>
      </c>
      <c r="G45" s="38">
        <f>F45*$G$4</f>
        <v>24.48</v>
      </c>
      <c r="H45" s="38">
        <f>IF(E45&gt;=7000,7000,E45)</f>
        <v>2448</v>
      </c>
      <c r="I45" s="38">
        <f>H45*$I$4</f>
        <v>0</v>
      </c>
      <c r="J45" s="39">
        <f t="shared" ref="J45:J47" si="24">(G45+I45)/12</f>
        <v>2.04</v>
      </c>
      <c r="K45" s="37">
        <f>E45/12</f>
        <v>204</v>
      </c>
      <c r="L45" s="37">
        <f t="shared" si="22"/>
        <v>15.606</v>
      </c>
      <c r="M45" s="35">
        <v>0</v>
      </c>
      <c r="N45" s="37">
        <f t="shared" si="23"/>
        <v>221.64599999999999</v>
      </c>
    </row>
    <row r="46" spans="1:14">
      <c r="A46" s="2" t="s">
        <v>43</v>
      </c>
      <c r="B46" s="34">
        <v>12</v>
      </c>
      <c r="C46" s="35">
        <v>0</v>
      </c>
      <c r="D46" s="36">
        <v>0</v>
      </c>
      <c r="E46" s="37">
        <f>B46*C46*D46</f>
        <v>0</v>
      </c>
      <c r="F46" s="38">
        <f>IF(E46&gt;=14000,14000,E46)</f>
        <v>0</v>
      </c>
      <c r="G46" s="38">
        <f>F46*$G$4</f>
        <v>0</v>
      </c>
      <c r="H46" s="38">
        <f>IF(E46&gt;=7000,7000,E46)</f>
        <v>0</v>
      </c>
      <c r="I46" s="38">
        <f>H46*$I$4</f>
        <v>0</v>
      </c>
      <c r="J46" s="39">
        <f t="shared" si="24"/>
        <v>0</v>
      </c>
      <c r="K46" s="37">
        <f>E46/12</f>
        <v>0</v>
      </c>
      <c r="L46" s="37">
        <f t="shared" si="22"/>
        <v>0</v>
      </c>
      <c r="M46" s="35">
        <v>0</v>
      </c>
      <c r="N46" s="37">
        <f t="shared" si="23"/>
        <v>0</v>
      </c>
    </row>
    <row r="47" spans="1:14">
      <c r="A47" s="2" t="s">
        <v>44</v>
      </c>
      <c r="B47" s="34">
        <v>12</v>
      </c>
      <c r="C47" s="35">
        <v>0</v>
      </c>
      <c r="D47" s="36">
        <v>0</v>
      </c>
      <c r="E47" s="37">
        <f>B47*C47*D47</f>
        <v>0</v>
      </c>
      <c r="F47" s="38">
        <f>IF(E47&gt;=14000,14000,E47)</f>
        <v>0</v>
      </c>
      <c r="G47" s="38">
        <f>F47*$G$4</f>
        <v>0</v>
      </c>
      <c r="H47" s="38">
        <f>IF(E47&gt;=7000,7000,E47)</f>
        <v>0</v>
      </c>
      <c r="I47" s="38">
        <f>H47*$I$4</f>
        <v>0</v>
      </c>
      <c r="J47" s="39">
        <f t="shared" si="24"/>
        <v>0</v>
      </c>
      <c r="K47" s="37">
        <f>E47/12</f>
        <v>0</v>
      </c>
      <c r="L47" s="37">
        <f t="shared" si="22"/>
        <v>0</v>
      </c>
      <c r="M47" s="35">
        <v>0</v>
      </c>
      <c r="N47" s="37">
        <f t="shared" si="23"/>
        <v>0</v>
      </c>
    </row>
    <row r="48" spans="1:14">
      <c r="B48" s="34"/>
      <c r="C48" s="35"/>
      <c r="D48" s="36"/>
      <c r="E48" s="37"/>
      <c r="F48" s="39"/>
      <c r="G48" s="39"/>
      <c r="H48" s="39"/>
      <c r="I48" s="39"/>
      <c r="J48" s="39"/>
      <c r="K48" s="37"/>
      <c r="L48" s="37"/>
      <c r="M48" s="48" t="s">
        <v>26</v>
      </c>
      <c r="N48" s="42">
        <f>SUM(N44:N47)</f>
        <v>539.44724999999994</v>
      </c>
    </row>
    <row r="50" spans="1:14">
      <c r="A50" s="47" t="s">
        <v>47</v>
      </c>
    </row>
    <row r="51" spans="1:14">
      <c r="A51" s="2" t="s">
        <v>41</v>
      </c>
      <c r="B51" s="34">
        <v>52</v>
      </c>
      <c r="C51" s="35">
        <v>0</v>
      </c>
      <c r="D51" s="36">
        <v>0</v>
      </c>
      <c r="E51" s="37">
        <f>B51*C51*D51</f>
        <v>0</v>
      </c>
      <c r="F51" s="51">
        <f>IF(E51&gt;=14000,14000,E51)</f>
        <v>0</v>
      </c>
      <c r="G51" s="51">
        <f>F51*$G$4</f>
        <v>0</v>
      </c>
      <c r="H51" s="51">
        <f>IF(E51&gt;=7000,7000,E51)</f>
        <v>0</v>
      </c>
      <c r="I51" s="51">
        <f>H51*$I$4</f>
        <v>0</v>
      </c>
      <c r="J51" s="39">
        <f>(G51+I51)/12</f>
        <v>0</v>
      </c>
      <c r="K51" s="37">
        <f>E51/12</f>
        <v>0</v>
      </c>
      <c r="L51" s="37">
        <f t="shared" ref="L51:L54" si="25">K51*$L$4</f>
        <v>0</v>
      </c>
      <c r="M51" s="35">
        <v>0</v>
      </c>
      <c r="N51" s="37">
        <f t="shared" ref="N51:N54" si="26">J51+K51+L51+M51</f>
        <v>0</v>
      </c>
    </row>
    <row r="52" spans="1:14">
      <c r="A52" s="2" t="s">
        <v>42</v>
      </c>
      <c r="B52" s="34">
        <v>52</v>
      </c>
      <c r="C52" s="35">
        <v>0</v>
      </c>
      <c r="D52" s="36">
        <v>0</v>
      </c>
      <c r="E52" s="37">
        <f>B52*C52*D52</f>
        <v>0</v>
      </c>
      <c r="F52" s="51">
        <f>IF(E52&gt;=14000,14000,E52)</f>
        <v>0</v>
      </c>
      <c r="G52" s="51">
        <f>F52*$G$4</f>
        <v>0</v>
      </c>
      <c r="H52" s="51">
        <f>IF(E52&gt;=7000,7000,E52)</f>
        <v>0</v>
      </c>
      <c r="I52" s="51">
        <f>H52*$I$4</f>
        <v>0</v>
      </c>
      <c r="J52" s="39">
        <f t="shared" ref="J52:J54" si="27">(G52+I52)/12</f>
        <v>0</v>
      </c>
      <c r="K52" s="37">
        <f>E52/12</f>
        <v>0</v>
      </c>
      <c r="L52" s="37">
        <f t="shared" si="25"/>
        <v>0</v>
      </c>
      <c r="M52" s="35">
        <v>0</v>
      </c>
      <c r="N52" s="37">
        <f t="shared" si="26"/>
        <v>0</v>
      </c>
    </row>
    <row r="53" spans="1:14">
      <c r="A53" s="2" t="s">
        <v>43</v>
      </c>
      <c r="B53" s="34">
        <v>52</v>
      </c>
      <c r="C53" s="35">
        <v>0</v>
      </c>
      <c r="D53" s="36">
        <v>0</v>
      </c>
      <c r="E53" s="37">
        <f>B53*C53*D53</f>
        <v>0</v>
      </c>
      <c r="F53" s="51">
        <f>IF(E53&gt;=14000,14000,E53)</f>
        <v>0</v>
      </c>
      <c r="G53" s="51">
        <f>F53*$G$4</f>
        <v>0</v>
      </c>
      <c r="H53" s="51">
        <f>IF(E53&gt;=7000,7000,E53)</f>
        <v>0</v>
      </c>
      <c r="I53" s="51">
        <f>H53*$I$4</f>
        <v>0</v>
      </c>
      <c r="J53" s="39">
        <f t="shared" si="27"/>
        <v>0</v>
      </c>
      <c r="K53" s="37">
        <f>E53/12</f>
        <v>0</v>
      </c>
      <c r="L53" s="37">
        <f t="shared" si="25"/>
        <v>0</v>
      </c>
      <c r="M53" s="35">
        <v>0</v>
      </c>
      <c r="N53" s="37">
        <f t="shared" si="26"/>
        <v>0</v>
      </c>
    </row>
    <row r="54" spans="1:14">
      <c r="A54" s="2" t="s">
        <v>44</v>
      </c>
      <c r="B54" s="34">
        <v>52</v>
      </c>
      <c r="C54" s="35">
        <v>0</v>
      </c>
      <c r="D54" s="36">
        <v>0</v>
      </c>
      <c r="E54" s="37">
        <f>B54*C54*D54</f>
        <v>0</v>
      </c>
      <c r="F54" s="51">
        <f>IF(E54&gt;=14000,14000,E54)</f>
        <v>0</v>
      </c>
      <c r="G54" s="51">
        <f>F54*$G$4</f>
        <v>0</v>
      </c>
      <c r="H54" s="51">
        <f>IF(E54&gt;=7000,7000,E54)</f>
        <v>0</v>
      </c>
      <c r="I54" s="51">
        <f>H54*$I$4</f>
        <v>0</v>
      </c>
      <c r="J54" s="39">
        <f t="shared" si="27"/>
        <v>0</v>
      </c>
      <c r="K54" s="37">
        <f>E54/12</f>
        <v>0</v>
      </c>
      <c r="L54" s="37">
        <f t="shared" si="25"/>
        <v>0</v>
      </c>
      <c r="M54" s="35">
        <v>0</v>
      </c>
      <c r="N54" s="37">
        <f t="shared" si="26"/>
        <v>0</v>
      </c>
    </row>
    <row r="55" spans="1:14">
      <c r="B55" s="34"/>
      <c r="C55" s="35"/>
      <c r="D55" s="36"/>
      <c r="E55" s="37"/>
      <c r="F55" s="39"/>
      <c r="G55" s="39"/>
      <c r="H55" s="39"/>
      <c r="I55" s="39"/>
      <c r="J55" s="39"/>
      <c r="K55" s="37"/>
      <c r="L55" s="37"/>
      <c r="M55" s="48" t="s">
        <v>26</v>
      </c>
      <c r="N55" s="42">
        <f>SUM(N51:N54)</f>
        <v>0</v>
      </c>
    </row>
    <row r="57" spans="1:14">
      <c r="A57" s="47" t="s">
        <v>47</v>
      </c>
    </row>
    <row r="58" spans="1:14">
      <c r="A58" s="2" t="s">
        <v>41</v>
      </c>
      <c r="B58" s="34">
        <v>52</v>
      </c>
      <c r="C58" s="35">
        <v>0</v>
      </c>
      <c r="D58" s="36">
        <v>0</v>
      </c>
      <c r="E58" s="37">
        <f>B58*C58*D58</f>
        <v>0</v>
      </c>
      <c r="F58" s="51">
        <f>IF(E58&gt;=14000,14000,E58)</f>
        <v>0</v>
      </c>
      <c r="G58" s="51">
        <f>F58*$G$4</f>
        <v>0</v>
      </c>
      <c r="H58" s="51">
        <f>IF(E58&gt;=7000,7000,E58)</f>
        <v>0</v>
      </c>
      <c r="I58" s="51">
        <f>H58*$I$4</f>
        <v>0</v>
      </c>
      <c r="J58" s="39">
        <f>(G58+I58)/12</f>
        <v>0</v>
      </c>
      <c r="K58" s="37">
        <f>E58/12</f>
        <v>0</v>
      </c>
      <c r="L58" s="37">
        <f t="shared" ref="L58:L61" si="28">K58*$L$4</f>
        <v>0</v>
      </c>
      <c r="M58" s="35">
        <v>0</v>
      </c>
      <c r="N58" s="37">
        <f t="shared" ref="N58:N61" si="29">J58+K58+L58+M58</f>
        <v>0</v>
      </c>
    </row>
    <row r="59" spans="1:14">
      <c r="A59" s="2" t="s">
        <v>42</v>
      </c>
      <c r="B59" s="34">
        <v>52</v>
      </c>
      <c r="C59" s="35">
        <v>0</v>
      </c>
      <c r="D59" s="36">
        <v>0</v>
      </c>
      <c r="E59" s="37">
        <f>B59*C59*D59</f>
        <v>0</v>
      </c>
      <c r="F59" s="51">
        <f>IF(E59&gt;=14000,14000,E59)</f>
        <v>0</v>
      </c>
      <c r="G59" s="51">
        <f>F59*$G$4</f>
        <v>0</v>
      </c>
      <c r="H59" s="51">
        <f>IF(E59&gt;=7000,7000,E59)</f>
        <v>0</v>
      </c>
      <c r="I59" s="51">
        <f>H59*$I$4</f>
        <v>0</v>
      </c>
      <c r="J59" s="39">
        <f t="shared" ref="J59:J61" si="30">(G59+I59)/12</f>
        <v>0</v>
      </c>
      <c r="K59" s="37">
        <f>E59/12</f>
        <v>0</v>
      </c>
      <c r="L59" s="37">
        <f t="shared" si="28"/>
        <v>0</v>
      </c>
      <c r="M59" s="35">
        <v>0</v>
      </c>
      <c r="N59" s="37">
        <f t="shared" si="29"/>
        <v>0</v>
      </c>
    </row>
    <row r="60" spans="1:14">
      <c r="A60" s="2" t="s">
        <v>43</v>
      </c>
      <c r="B60" s="34">
        <v>52</v>
      </c>
      <c r="C60" s="35">
        <v>0</v>
      </c>
      <c r="D60" s="36">
        <v>0</v>
      </c>
      <c r="E60" s="37">
        <f>B60*C60*D60</f>
        <v>0</v>
      </c>
      <c r="F60" s="51">
        <f>IF(E60&gt;=14000,14000,E60)</f>
        <v>0</v>
      </c>
      <c r="G60" s="51">
        <f>F60*$G$4</f>
        <v>0</v>
      </c>
      <c r="H60" s="51">
        <f>IF(E60&gt;=7000,7000,E60)</f>
        <v>0</v>
      </c>
      <c r="I60" s="51">
        <f>H60*$I$4</f>
        <v>0</v>
      </c>
      <c r="J60" s="39">
        <f t="shared" si="30"/>
        <v>0</v>
      </c>
      <c r="K60" s="37">
        <f>E60/12</f>
        <v>0</v>
      </c>
      <c r="L60" s="37">
        <f t="shared" si="28"/>
        <v>0</v>
      </c>
      <c r="M60" s="35">
        <v>0</v>
      </c>
      <c r="N60" s="37">
        <f t="shared" si="29"/>
        <v>0</v>
      </c>
    </row>
    <row r="61" spans="1:14">
      <c r="A61" s="2" t="s">
        <v>44</v>
      </c>
      <c r="B61" s="34">
        <v>52</v>
      </c>
      <c r="C61" s="35">
        <v>0</v>
      </c>
      <c r="D61" s="36">
        <v>0</v>
      </c>
      <c r="E61" s="37">
        <f>B61*C61*D61</f>
        <v>0</v>
      </c>
      <c r="F61" s="51">
        <f>IF(E61&gt;=14000,14000,E61)</f>
        <v>0</v>
      </c>
      <c r="G61" s="51">
        <f>F61*$G$4</f>
        <v>0</v>
      </c>
      <c r="H61" s="51">
        <f>IF(E61&gt;=7000,7000,E61)</f>
        <v>0</v>
      </c>
      <c r="I61" s="51">
        <f>H61*$I$4</f>
        <v>0</v>
      </c>
      <c r="J61" s="39">
        <f t="shared" si="30"/>
        <v>0</v>
      </c>
      <c r="K61" s="37">
        <f>E61/12</f>
        <v>0</v>
      </c>
      <c r="L61" s="37">
        <f t="shared" si="28"/>
        <v>0</v>
      </c>
      <c r="M61" s="35">
        <v>0</v>
      </c>
      <c r="N61" s="37">
        <f t="shared" si="29"/>
        <v>0</v>
      </c>
    </row>
    <row r="62" spans="1:14">
      <c r="B62" s="34"/>
      <c r="C62" s="35"/>
      <c r="D62" s="36"/>
      <c r="E62" s="37"/>
      <c r="F62" s="39"/>
      <c r="G62" s="39"/>
      <c r="H62" s="39"/>
      <c r="I62" s="39"/>
      <c r="J62" s="39"/>
      <c r="K62" s="37"/>
      <c r="L62" s="37"/>
      <c r="M62" s="48" t="s">
        <v>26</v>
      </c>
      <c r="N62" s="42">
        <f>SUM(N58:N61)</f>
        <v>0</v>
      </c>
    </row>
    <row r="63" spans="1:14" ht="13.5" customHeight="1"/>
    <row r="64" spans="1:14" s="45" customFormat="1">
      <c r="A64" s="29" t="s">
        <v>74</v>
      </c>
      <c r="B64" s="29"/>
      <c r="C64" s="29"/>
      <c r="D64" s="29"/>
      <c r="E64" s="42">
        <f>SUM(E16:E61)</f>
        <v>138947</v>
      </c>
      <c r="F64" s="52"/>
      <c r="G64" s="52"/>
      <c r="H64" s="52"/>
      <c r="I64" s="52"/>
      <c r="J64" s="37">
        <f>SUM(J16:J61)</f>
        <v>105.93916666666668</v>
      </c>
      <c r="K64" s="37">
        <f>SUM(K16:K61)</f>
        <v>11578.916666666666</v>
      </c>
      <c r="L64" s="37">
        <f>SUM(L16:L61)</f>
        <v>885.78712499999995</v>
      </c>
      <c r="M64" s="37">
        <f>SUM(M16:M61)</f>
        <v>625</v>
      </c>
      <c r="N64" s="42">
        <f t="shared" ref="N64" si="31">J64+K64+L64+M64</f>
        <v>13195.642958333334</v>
      </c>
    </row>
    <row r="65" spans="1:14">
      <c r="A65" s="45" t="s">
        <v>121</v>
      </c>
      <c r="E65" s="53">
        <f>E64+E12</f>
        <v>189387</v>
      </c>
      <c r="J65" s="54">
        <f t="shared" ref="J65:N65" si="32">J64+J12</f>
        <v>127.13916666666668</v>
      </c>
      <c r="K65" s="54">
        <f t="shared" si="32"/>
        <v>15782.25</v>
      </c>
      <c r="L65" s="54">
        <f t="shared" si="32"/>
        <v>1207.3421249999999</v>
      </c>
      <c r="M65" s="54">
        <f t="shared" si="32"/>
        <v>1250</v>
      </c>
      <c r="N65" s="53">
        <f t="shared" si="32"/>
        <v>18345.531291666666</v>
      </c>
    </row>
    <row r="67" spans="1:14">
      <c r="A67" s="55" t="s">
        <v>35</v>
      </c>
    </row>
    <row r="68" spans="1:14">
      <c r="A68" s="56" t="s">
        <v>77</v>
      </c>
    </row>
  </sheetData>
  <mergeCells count="1">
    <mergeCell ref="C2:F2"/>
  </mergeCells>
  <pageMargins left="0.7" right="0.7" top="0.75" bottom="0.75" header="0.3" footer="0.3"/>
  <pageSetup orientation="portrait" horizontalDpi="0" verticalDpi="0" r:id="rId1"/>
  <headerFooter>
    <oddFooter>&amp;CSource: Kim Votta Consulting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FFDE8-3321-42BF-B88D-2CCD24DEA37F}">
  <sheetPr>
    <tabColor theme="4" tint="0.39997558519241921"/>
  </sheetPr>
  <dimension ref="A1:I33"/>
  <sheetViews>
    <sheetView workbookViewId="0">
      <selection activeCell="C1" sqref="C1:C1048576"/>
    </sheetView>
  </sheetViews>
  <sheetFormatPr defaultColWidth="62.08984375" defaultRowHeight="17.5"/>
  <cols>
    <col min="1" max="1" width="62.08984375" style="2"/>
    <col min="2" max="3" width="20.6328125" style="2" customWidth="1"/>
    <col min="4" max="16384" width="62.08984375" style="2"/>
  </cols>
  <sheetData>
    <row r="1" spans="1:9">
      <c r="A1" s="15" t="s">
        <v>86</v>
      </c>
      <c r="B1" s="16" t="s">
        <v>87</v>
      </c>
      <c r="C1" s="17" t="s">
        <v>88</v>
      </c>
      <c r="D1" s="18" t="s">
        <v>89</v>
      </c>
      <c r="E1" s="19"/>
      <c r="F1" s="20"/>
      <c r="G1" s="20"/>
    </row>
    <row r="3" spans="1:9">
      <c r="A3" s="45" t="s">
        <v>51</v>
      </c>
    </row>
    <row r="4" spans="1:9">
      <c r="A4" s="45"/>
    </row>
    <row r="5" spans="1:9" ht="52.5">
      <c r="A5" s="58" t="s">
        <v>52</v>
      </c>
      <c r="B5" s="30" t="s">
        <v>53</v>
      </c>
      <c r="C5" s="30" t="s">
        <v>61</v>
      </c>
      <c r="D5" s="33"/>
      <c r="E5" s="29"/>
      <c r="F5" s="33"/>
    </row>
    <row r="6" spans="1:9">
      <c r="A6" s="33" t="s">
        <v>91</v>
      </c>
      <c r="B6" s="59">
        <f>Staff!N12</f>
        <v>5149.8883333333333</v>
      </c>
      <c r="C6" s="60">
        <f>B6*12</f>
        <v>61798.66</v>
      </c>
      <c r="D6" s="33"/>
      <c r="E6" s="29"/>
      <c r="F6" s="33"/>
    </row>
    <row r="7" spans="1:9">
      <c r="A7" s="33" t="s">
        <v>57</v>
      </c>
      <c r="B7" s="35">
        <v>125</v>
      </c>
      <c r="C7" s="61">
        <f>B7*12</f>
        <v>1500</v>
      </c>
      <c r="D7" s="46"/>
      <c r="E7" s="33"/>
      <c r="F7" s="33"/>
    </row>
    <row r="8" spans="1:9">
      <c r="A8" s="33" t="s">
        <v>23</v>
      </c>
      <c r="B8" s="35">
        <v>20</v>
      </c>
      <c r="C8" s="61">
        <f t="shared" ref="C8:C30" si="0">B8*12</f>
        <v>240</v>
      </c>
      <c r="D8" s="33"/>
      <c r="E8" s="33"/>
      <c r="F8" s="33"/>
      <c r="G8" s="33"/>
      <c r="H8" s="33"/>
      <c r="I8" s="33"/>
    </row>
    <row r="9" spans="1:9">
      <c r="A9" s="33" t="s">
        <v>12</v>
      </c>
      <c r="B9" s="35">
        <v>800</v>
      </c>
      <c r="C9" s="61">
        <f t="shared" si="0"/>
        <v>9600</v>
      </c>
      <c r="D9" s="33"/>
      <c r="E9" s="33"/>
      <c r="F9" s="33"/>
    </row>
    <row r="10" spans="1:9">
      <c r="A10" s="33" t="s">
        <v>10</v>
      </c>
      <c r="B10" s="35">
        <v>300</v>
      </c>
      <c r="C10" s="61">
        <f t="shared" si="0"/>
        <v>3600</v>
      </c>
      <c r="D10" s="33"/>
      <c r="E10" s="33"/>
      <c r="F10" s="33"/>
    </row>
    <row r="11" spans="1:9">
      <c r="A11" s="33" t="s">
        <v>14</v>
      </c>
      <c r="B11" s="35">
        <v>400</v>
      </c>
      <c r="C11" s="61">
        <f t="shared" si="0"/>
        <v>4800</v>
      </c>
      <c r="D11" s="33"/>
      <c r="E11" s="33"/>
      <c r="F11" s="33"/>
    </row>
    <row r="12" spans="1:9">
      <c r="A12" s="33" t="s">
        <v>58</v>
      </c>
      <c r="B12" s="35">
        <v>370</v>
      </c>
      <c r="C12" s="61">
        <f t="shared" si="0"/>
        <v>4440</v>
      </c>
      <c r="D12" s="33"/>
      <c r="E12" s="33"/>
      <c r="F12" s="33"/>
      <c r="G12" s="33"/>
      <c r="H12" s="33"/>
      <c r="I12" s="33"/>
    </row>
    <row r="13" spans="1:9">
      <c r="A13" s="33" t="s">
        <v>15</v>
      </c>
      <c r="B13" s="35">
        <v>60</v>
      </c>
      <c r="C13" s="61">
        <f t="shared" si="0"/>
        <v>720</v>
      </c>
      <c r="D13" s="33"/>
      <c r="E13" s="33"/>
      <c r="F13" s="33"/>
      <c r="G13" s="33"/>
      <c r="H13" s="33"/>
      <c r="I13" s="33"/>
    </row>
    <row r="14" spans="1:9">
      <c r="A14" s="33" t="s">
        <v>16</v>
      </c>
      <c r="B14" s="35">
        <v>60</v>
      </c>
      <c r="C14" s="61">
        <f t="shared" si="0"/>
        <v>720</v>
      </c>
      <c r="D14" s="33"/>
      <c r="E14" s="33"/>
      <c r="F14" s="33"/>
      <c r="G14" s="33"/>
      <c r="H14" s="33"/>
      <c r="I14" s="33"/>
    </row>
    <row r="15" spans="1:9">
      <c r="A15" s="33" t="s">
        <v>17</v>
      </c>
      <c r="B15" s="35">
        <v>0</v>
      </c>
      <c r="C15" s="61">
        <f t="shared" si="0"/>
        <v>0</v>
      </c>
      <c r="D15" s="33"/>
      <c r="E15" s="33"/>
      <c r="F15" s="33"/>
      <c r="G15" s="33"/>
      <c r="H15" s="33"/>
      <c r="I15" s="33"/>
    </row>
    <row r="16" spans="1:9">
      <c r="A16" s="33" t="s">
        <v>18</v>
      </c>
      <c r="B16" s="35">
        <v>1500</v>
      </c>
      <c r="C16" s="61">
        <f t="shared" si="0"/>
        <v>18000</v>
      </c>
      <c r="D16" s="33"/>
      <c r="E16" s="33"/>
      <c r="F16" s="33"/>
      <c r="G16" s="33"/>
      <c r="H16" s="33"/>
      <c r="I16" s="33"/>
    </row>
    <row r="17" spans="1:9">
      <c r="A17" s="33" t="s">
        <v>19</v>
      </c>
      <c r="B17" s="35">
        <v>200</v>
      </c>
      <c r="C17" s="61">
        <f t="shared" si="0"/>
        <v>2400</v>
      </c>
      <c r="D17" s="33"/>
      <c r="E17" s="33"/>
      <c r="F17" s="33"/>
      <c r="G17" s="33"/>
      <c r="H17" s="33"/>
      <c r="I17" s="33"/>
    </row>
    <row r="18" spans="1:9">
      <c r="A18" s="33" t="s">
        <v>56</v>
      </c>
      <c r="B18" s="35">
        <v>600</v>
      </c>
      <c r="C18" s="61">
        <f t="shared" si="0"/>
        <v>7200</v>
      </c>
      <c r="D18" s="33"/>
      <c r="E18" s="33"/>
      <c r="F18" s="33"/>
      <c r="G18" s="33"/>
      <c r="H18" s="33"/>
      <c r="I18" s="33"/>
    </row>
    <row r="19" spans="1:9">
      <c r="A19" s="33" t="s">
        <v>20</v>
      </c>
      <c r="B19" s="35">
        <v>60</v>
      </c>
      <c r="C19" s="61">
        <f t="shared" si="0"/>
        <v>720</v>
      </c>
      <c r="D19" s="33"/>
      <c r="E19" s="33"/>
      <c r="F19" s="33"/>
      <c r="G19" s="33"/>
      <c r="H19" s="33"/>
      <c r="I19" s="33"/>
    </row>
    <row r="20" spans="1:9">
      <c r="A20" s="33" t="s">
        <v>21</v>
      </c>
      <c r="B20" s="35">
        <v>0</v>
      </c>
      <c r="C20" s="61">
        <f t="shared" si="0"/>
        <v>0</v>
      </c>
      <c r="D20" s="33"/>
      <c r="E20" s="33"/>
      <c r="F20" s="33"/>
      <c r="G20" s="33"/>
      <c r="H20" s="33"/>
      <c r="I20" s="33"/>
    </row>
    <row r="21" spans="1:9">
      <c r="A21" s="33" t="s">
        <v>22</v>
      </c>
      <c r="B21" s="35">
        <v>40</v>
      </c>
      <c r="C21" s="61">
        <f t="shared" si="0"/>
        <v>480</v>
      </c>
      <c r="D21" s="33"/>
      <c r="E21" s="33"/>
      <c r="F21" s="33"/>
      <c r="G21" s="33"/>
      <c r="H21" s="33"/>
      <c r="I21" s="33"/>
    </row>
    <row r="22" spans="1:9">
      <c r="A22" s="33" t="s">
        <v>24</v>
      </c>
      <c r="B22" s="35">
        <v>20</v>
      </c>
      <c r="C22" s="61">
        <f t="shared" si="0"/>
        <v>240</v>
      </c>
      <c r="D22" s="33"/>
      <c r="E22" s="33"/>
      <c r="F22" s="33"/>
      <c r="G22" s="33"/>
      <c r="H22" s="33"/>
      <c r="I22" s="33"/>
    </row>
    <row r="23" spans="1:9">
      <c r="A23" s="33" t="s">
        <v>59</v>
      </c>
      <c r="B23" s="35">
        <v>0</v>
      </c>
      <c r="C23" s="61">
        <f t="shared" si="0"/>
        <v>0</v>
      </c>
      <c r="D23" s="33"/>
      <c r="E23" s="33"/>
      <c r="F23" s="33"/>
      <c r="G23" s="33"/>
      <c r="H23" s="33"/>
      <c r="I23" s="33"/>
    </row>
    <row r="24" spans="1:9">
      <c r="A24" s="33" t="s">
        <v>60</v>
      </c>
      <c r="B24" s="35">
        <v>0</v>
      </c>
      <c r="C24" s="61">
        <f t="shared" si="0"/>
        <v>0</v>
      </c>
      <c r="D24" s="33"/>
      <c r="E24" s="33"/>
      <c r="F24" s="33"/>
      <c r="G24" s="33"/>
      <c r="H24" s="33"/>
      <c r="I24" s="33"/>
    </row>
    <row r="25" spans="1:9">
      <c r="A25" s="33" t="s">
        <v>25</v>
      </c>
      <c r="B25" s="35">
        <v>40</v>
      </c>
      <c r="C25" s="61">
        <f t="shared" si="0"/>
        <v>480</v>
      </c>
      <c r="D25" s="33"/>
      <c r="E25" s="33"/>
      <c r="F25" s="33"/>
      <c r="G25" s="33"/>
      <c r="H25" s="33"/>
      <c r="I25" s="33"/>
    </row>
    <row r="26" spans="1:9">
      <c r="A26" s="33" t="s">
        <v>13</v>
      </c>
      <c r="B26" s="35">
        <v>0</v>
      </c>
      <c r="C26" s="61">
        <f t="shared" si="0"/>
        <v>0</v>
      </c>
      <c r="D26" s="33"/>
      <c r="E26" s="33"/>
      <c r="F26" s="33"/>
      <c r="G26" s="33"/>
      <c r="H26" s="33"/>
      <c r="I26" s="33"/>
    </row>
    <row r="27" spans="1:9">
      <c r="A27" s="33" t="s">
        <v>13</v>
      </c>
      <c r="B27" s="35">
        <v>0</v>
      </c>
      <c r="C27" s="61">
        <f t="shared" si="0"/>
        <v>0</v>
      </c>
      <c r="D27" s="33"/>
      <c r="E27" s="33"/>
      <c r="F27" s="33"/>
      <c r="G27" s="33"/>
      <c r="H27" s="33"/>
      <c r="I27" s="33"/>
    </row>
    <row r="28" spans="1:9">
      <c r="A28" s="33" t="s">
        <v>13</v>
      </c>
      <c r="B28" s="35">
        <v>0</v>
      </c>
      <c r="C28" s="61">
        <f t="shared" si="0"/>
        <v>0</v>
      </c>
      <c r="D28" s="33"/>
      <c r="E28" s="33"/>
      <c r="F28" s="33"/>
      <c r="G28" s="33"/>
      <c r="H28" s="33"/>
      <c r="I28" s="33"/>
    </row>
    <row r="29" spans="1:9">
      <c r="A29" s="33" t="s">
        <v>13</v>
      </c>
      <c r="B29" s="35">
        <v>0</v>
      </c>
      <c r="C29" s="61">
        <f t="shared" si="0"/>
        <v>0</v>
      </c>
      <c r="D29" s="33"/>
      <c r="E29" s="33"/>
      <c r="F29" s="33"/>
      <c r="G29" s="33"/>
      <c r="H29" s="33"/>
      <c r="I29" s="33"/>
    </row>
    <row r="30" spans="1:9">
      <c r="A30" s="33" t="s">
        <v>13</v>
      </c>
      <c r="B30" s="35">
        <v>0</v>
      </c>
      <c r="C30" s="61">
        <f t="shared" si="0"/>
        <v>0</v>
      </c>
      <c r="D30" s="33"/>
      <c r="E30" s="33"/>
      <c r="F30" s="33"/>
      <c r="G30" s="33"/>
      <c r="H30" s="33"/>
      <c r="I30" s="33"/>
    </row>
    <row r="31" spans="1:9">
      <c r="A31" s="29" t="s">
        <v>55</v>
      </c>
      <c r="B31" s="42">
        <f>SUM(B6:B30)</f>
        <v>9744.8883333333324</v>
      </c>
      <c r="C31" s="42">
        <f>SUM(C6:C30)</f>
        <v>116938.66</v>
      </c>
      <c r="D31" s="33"/>
      <c r="E31" s="33"/>
      <c r="F31" s="33"/>
      <c r="G31" s="33"/>
      <c r="H31" s="33"/>
      <c r="I31" s="33"/>
    </row>
    <row r="32" spans="1:9">
      <c r="A32" s="62" t="s">
        <v>54</v>
      </c>
      <c r="B32" s="63"/>
      <c r="C32" s="63"/>
      <c r="D32" s="63"/>
    </row>
    <row r="33" spans="1:1">
      <c r="A33" s="55"/>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2192C-90D8-4CF1-A327-D34F8BF8100D}">
  <sheetPr>
    <tabColor theme="4" tint="0.39997558519241921"/>
  </sheetPr>
  <dimension ref="A1:K28"/>
  <sheetViews>
    <sheetView workbookViewId="0">
      <selection activeCell="A8" sqref="A8"/>
    </sheetView>
  </sheetViews>
  <sheetFormatPr defaultRowHeight="17.5"/>
  <cols>
    <col min="1" max="1" width="56.81640625" style="2" customWidth="1"/>
    <col min="2" max="2" width="11.1796875" style="2" customWidth="1"/>
    <col min="3" max="9" width="14" style="2" customWidth="1"/>
    <col min="10" max="10" width="8.7265625" style="2"/>
    <col min="11" max="11" width="8.7265625" style="2" customWidth="1"/>
    <col min="12" max="16384" width="8.7265625" style="2"/>
  </cols>
  <sheetData>
    <row r="1" spans="1:11">
      <c r="A1" s="15" t="s">
        <v>86</v>
      </c>
      <c r="B1" s="16" t="s">
        <v>87</v>
      </c>
      <c r="C1" s="17" t="s">
        <v>88</v>
      </c>
      <c r="D1" s="18" t="s">
        <v>89</v>
      </c>
      <c r="E1" s="19"/>
      <c r="F1" s="20"/>
    </row>
    <row r="3" spans="1:11">
      <c r="A3" s="45" t="s">
        <v>70</v>
      </c>
      <c r="B3" s="45"/>
    </row>
    <row r="5" spans="1:11" ht="35">
      <c r="B5" s="64"/>
      <c r="C5" s="65" t="str">
        <f>Staff!A15</f>
        <v>Infant Room</v>
      </c>
      <c r="D5" s="65" t="str">
        <f>Staff!A22</f>
        <v>Toddler Room</v>
      </c>
      <c r="E5" s="65" t="str">
        <f>Staff!A29</f>
        <v>Preschool Room</v>
      </c>
      <c r="F5" s="65" t="str">
        <f>Staff!A36</f>
        <v>Before/After School</v>
      </c>
      <c r="G5" s="65" t="str">
        <f>Staff!A43</f>
        <v>Summer School</v>
      </c>
      <c r="H5" s="65" t="str">
        <f>Staff!A50</f>
        <v>Other Room/Group</v>
      </c>
      <c r="I5" s="65" t="str">
        <f>Staff!A57</f>
        <v>Other Room/Group</v>
      </c>
      <c r="J5" s="66"/>
    </row>
    <row r="6" spans="1:11">
      <c r="A6" s="15" t="s">
        <v>149</v>
      </c>
      <c r="B6" s="67"/>
      <c r="C6" s="68">
        <f>Tuition!K28</f>
        <v>5.2</v>
      </c>
      <c r="D6" s="68">
        <f>Tuition!K29</f>
        <v>9.6</v>
      </c>
      <c r="E6" s="68">
        <f>Tuition!K30</f>
        <v>8.8000000000000007</v>
      </c>
      <c r="F6" s="68">
        <f>Tuition!K31</f>
        <v>10.6</v>
      </c>
      <c r="G6" s="68">
        <f>Tuition!K32</f>
        <v>10.6</v>
      </c>
      <c r="H6" s="68">
        <f>Tuition!K33</f>
        <v>0</v>
      </c>
      <c r="I6" s="68">
        <f>Tuition!K34</f>
        <v>0</v>
      </c>
      <c r="J6" s="69">
        <f>SUM(C6:I6)-G6</f>
        <v>34.200000000000003</v>
      </c>
      <c r="K6" s="70" t="s">
        <v>123</v>
      </c>
    </row>
    <row r="7" spans="1:11">
      <c r="A7" s="15" t="s">
        <v>108</v>
      </c>
      <c r="B7" s="67"/>
      <c r="C7" s="71">
        <f t="shared" ref="C7:H7" si="0">C6/$J$6</f>
        <v>0.15204678362573099</v>
      </c>
      <c r="D7" s="71">
        <f t="shared" si="0"/>
        <v>0.2807017543859649</v>
      </c>
      <c r="E7" s="71">
        <f t="shared" si="0"/>
        <v>0.25730994152046782</v>
      </c>
      <c r="F7" s="71">
        <f t="shared" si="0"/>
        <v>0.30994152046783624</v>
      </c>
      <c r="G7" s="71">
        <f t="shared" si="0"/>
        <v>0.30994152046783624</v>
      </c>
      <c r="H7" s="71">
        <f t="shared" si="0"/>
        <v>0</v>
      </c>
      <c r="I7" s="71">
        <f t="shared" ref="I7" si="1">I6/$J$6</f>
        <v>0</v>
      </c>
      <c r="J7" s="72">
        <f>SUM(C7:I7)-G7</f>
        <v>1</v>
      </c>
      <c r="K7" s="70" t="s">
        <v>123</v>
      </c>
    </row>
    <row r="8" spans="1:11" ht="52.5">
      <c r="B8" s="31" t="s">
        <v>109</v>
      </c>
      <c r="C8" s="73" t="s">
        <v>53</v>
      </c>
      <c r="D8" s="73" t="s">
        <v>53</v>
      </c>
      <c r="E8" s="73" t="s">
        <v>53</v>
      </c>
      <c r="F8" s="73" t="s">
        <v>53</v>
      </c>
      <c r="G8" s="73" t="s">
        <v>53</v>
      </c>
      <c r="H8" s="73" t="s">
        <v>53</v>
      </c>
      <c r="I8" s="73" t="s">
        <v>53</v>
      </c>
    </row>
    <row r="10" spans="1:11">
      <c r="A10" s="2" t="s">
        <v>64</v>
      </c>
      <c r="B10" s="74">
        <v>250</v>
      </c>
      <c r="C10" s="38">
        <f>B10*$C$7</f>
        <v>38.011695906432749</v>
      </c>
      <c r="D10" s="38">
        <f>B10*$D$7</f>
        <v>70.175438596491219</v>
      </c>
      <c r="E10" s="38">
        <f>B10*$E$7</f>
        <v>64.327485380116954</v>
      </c>
      <c r="F10" s="38">
        <f>B10*$F$7</f>
        <v>77.485380116959064</v>
      </c>
      <c r="G10" s="38">
        <f>B10*$G$7</f>
        <v>77.485380116959064</v>
      </c>
      <c r="H10" s="38">
        <f>B10*$H$7</f>
        <v>0</v>
      </c>
      <c r="I10" s="38">
        <f>B10*$I$7</f>
        <v>0</v>
      </c>
    </row>
    <row r="11" spans="1:11">
      <c r="A11" s="2" t="s">
        <v>65</v>
      </c>
      <c r="B11" s="74">
        <v>200</v>
      </c>
      <c r="C11" s="38">
        <f t="shared" ref="C11:C20" si="2">B11*$C$7</f>
        <v>30.409356725146196</v>
      </c>
      <c r="D11" s="38">
        <f t="shared" ref="D11:D20" si="3">B11*$D$7</f>
        <v>56.140350877192979</v>
      </c>
      <c r="E11" s="38">
        <f t="shared" ref="E11:E20" si="4">B11*$E$7</f>
        <v>51.461988304093566</v>
      </c>
      <c r="F11" s="38">
        <f t="shared" ref="F11:F20" si="5">B11*$F$7</f>
        <v>61.988304093567251</v>
      </c>
      <c r="G11" s="38">
        <f t="shared" ref="G11:G20" si="6">B11*$G$7</f>
        <v>61.988304093567251</v>
      </c>
      <c r="H11" s="38">
        <f t="shared" ref="H11:H20" si="7">B11*$H$7</f>
        <v>0</v>
      </c>
      <c r="I11" s="38">
        <f t="shared" ref="I11:I20" si="8">B11*$I$7</f>
        <v>0</v>
      </c>
    </row>
    <row r="12" spans="1:11">
      <c r="A12" s="2" t="s">
        <v>66</v>
      </c>
      <c r="B12" s="74">
        <v>0</v>
      </c>
      <c r="C12" s="38">
        <f t="shared" si="2"/>
        <v>0</v>
      </c>
      <c r="D12" s="38">
        <f t="shared" si="3"/>
        <v>0</v>
      </c>
      <c r="E12" s="38">
        <f t="shared" si="4"/>
        <v>0</v>
      </c>
      <c r="F12" s="38">
        <f t="shared" si="5"/>
        <v>0</v>
      </c>
      <c r="G12" s="38">
        <f t="shared" si="6"/>
        <v>0</v>
      </c>
      <c r="H12" s="38">
        <f t="shared" si="7"/>
        <v>0</v>
      </c>
      <c r="I12" s="38">
        <f t="shared" si="8"/>
        <v>0</v>
      </c>
    </row>
    <row r="13" spans="1:11">
      <c r="A13" s="2" t="s">
        <v>11</v>
      </c>
      <c r="B13" s="74">
        <v>600</v>
      </c>
      <c r="C13" s="38">
        <f t="shared" si="2"/>
        <v>91.228070175438589</v>
      </c>
      <c r="D13" s="38">
        <f t="shared" si="3"/>
        <v>168.42105263157893</v>
      </c>
      <c r="E13" s="38">
        <f t="shared" si="4"/>
        <v>154.38596491228068</v>
      </c>
      <c r="F13" s="38">
        <f t="shared" si="5"/>
        <v>185.96491228070175</v>
      </c>
      <c r="G13" s="38">
        <f t="shared" si="6"/>
        <v>185.96491228070175</v>
      </c>
      <c r="H13" s="38">
        <f t="shared" si="7"/>
        <v>0</v>
      </c>
      <c r="I13" s="38">
        <f t="shared" si="8"/>
        <v>0</v>
      </c>
    </row>
    <row r="14" spans="1:11">
      <c r="A14" s="2" t="s">
        <v>67</v>
      </c>
      <c r="B14" s="74">
        <v>0</v>
      </c>
      <c r="C14" s="38">
        <f t="shared" si="2"/>
        <v>0</v>
      </c>
      <c r="D14" s="38">
        <f t="shared" si="3"/>
        <v>0</v>
      </c>
      <c r="E14" s="38">
        <f t="shared" si="4"/>
        <v>0</v>
      </c>
      <c r="F14" s="38">
        <f t="shared" si="5"/>
        <v>0</v>
      </c>
      <c r="G14" s="38">
        <f t="shared" si="6"/>
        <v>0</v>
      </c>
      <c r="H14" s="38">
        <f t="shared" si="7"/>
        <v>0</v>
      </c>
      <c r="I14" s="38">
        <f t="shared" si="8"/>
        <v>0</v>
      </c>
    </row>
    <row r="15" spans="1:11">
      <c r="A15" s="2" t="s">
        <v>68</v>
      </c>
      <c r="B15" s="74">
        <v>0</v>
      </c>
      <c r="C15" s="38">
        <f t="shared" si="2"/>
        <v>0</v>
      </c>
      <c r="D15" s="38">
        <f t="shared" si="3"/>
        <v>0</v>
      </c>
      <c r="E15" s="38">
        <f t="shared" si="4"/>
        <v>0</v>
      </c>
      <c r="F15" s="38">
        <f t="shared" si="5"/>
        <v>0</v>
      </c>
      <c r="G15" s="38">
        <f t="shared" si="6"/>
        <v>0</v>
      </c>
      <c r="H15" s="38">
        <f t="shared" si="7"/>
        <v>0</v>
      </c>
      <c r="I15" s="38">
        <f t="shared" si="8"/>
        <v>0</v>
      </c>
    </row>
    <row r="16" spans="1:11">
      <c r="A16" s="2" t="s">
        <v>21</v>
      </c>
      <c r="B16" s="74">
        <v>0</v>
      </c>
      <c r="C16" s="38">
        <f t="shared" si="2"/>
        <v>0</v>
      </c>
      <c r="D16" s="38">
        <f t="shared" si="3"/>
        <v>0</v>
      </c>
      <c r="E16" s="38">
        <f t="shared" si="4"/>
        <v>0</v>
      </c>
      <c r="F16" s="38">
        <f t="shared" si="5"/>
        <v>0</v>
      </c>
      <c r="G16" s="38">
        <f t="shared" si="6"/>
        <v>0</v>
      </c>
      <c r="H16" s="38">
        <f t="shared" si="7"/>
        <v>0</v>
      </c>
      <c r="I16" s="38">
        <f t="shared" si="8"/>
        <v>0</v>
      </c>
    </row>
    <row r="17" spans="1:9">
      <c r="A17" s="2" t="s">
        <v>92</v>
      </c>
      <c r="B17" s="74">
        <v>60</v>
      </c>
      <c r="C17" s="38">
        <f t="shared" si="2"/>
        <v>9.1228070175438596</v>
      </c>
      <c r="D17" s="38">
        <f t="shared" si="3"/>
        <v>16.842105263157894</v>
      </c>
      <c r="E17" s="38">
        <f t="shared" si="4"/>
        <v>15.438596491228068</v>
      </c>
      <c r="F17" s="38">
        <f t="shared" si="5"/>
        <v>18.596491228070175</v>
      </c>
      <c r="G17" s="38">
        <f t="shared" si="6"/>
        <v>18.596491228070175</v>
      </c>
      <c r="H17" s="38">
        <f t="shared" si="7"/>
        <v>0</v>
      </c>
      <c r="I17" s="38">
        <f t="shared" si="8"/>
        <v>0</v>
      </c>
    </row>
    <row r="18" spans="1:9">
      <c r="A18" s="2" t="s">
        <v>13</v>
      </c>
      <c r="B18" s="74">
        <v>0</v>
      </c>
      <c r="C18" s="38">
        <f t="shared" si="2"/>
        <v>0</v>
      </c>
      <c r="D18" s="38">
        <f t="shared" si="3"/>
        <v>0</v>
      </c>
      <c r="E18" s="38">
        <f t="shared" si="4"/>
        <v>0</v>
      </c>
      <c r="F18" s="38">
        <f t="shared" si="5"/>
        <v>0</v>
      </c>
      <c r="G18" s="38">
        <f t="shared" si="6"/>
        <v>0</v>
      </c>
      <c r="H18" s="38">
        <f t="shared" si="7"/>
        <v>0</v>
      </c>
      <c r="I18" s="38">
        <f t="shared" si="8"/>
        <v>0</v>
      </c>
    </row>
    <row r="19" spans="1:9">
      <c r="A19" s="2" t="s">
        <v>13</v>
      </c>
      <c r="B19" s="74">
        <v>0</v>
      </c>
      <c r="C19" s="38">
        <f t="shared" si="2"/>
        <v>0</v>
      </c>
      <c r="D19" s="38">
        <f t="shared" si="3"/>
        <v>0</v>
      </c>
      <c r="E19" s="38">
        <f t="shared" si="4"/>
        <v>0</v>
      </c>
      <c r="F19" s="38">
        <f t="shared" si="5"/>
        <v>0</v>
      </c>
      <c r="G19" s="38">
        <f t="shared" si="6"/>
        <v>0</v>
      </c>
      <c r="H19" s="38">
        <f t="shared" si="7"/>
        <v>0</v>
      </c>
      <c r="I19" s="38">
        <f t="shared" si="8"/>
        <v>0</v>
      </c>
    </row>
    <row r="20" spans="1:9">
      <c r="A20" s="2" t="s">
        <v>13</v>
      </c>
      <c r="B20" s="74">
        <v>0</v>
      </c>
      <c r="C20" s="38">
        <f t="shared" si="2"/>
        <v>0</v>
      </c>
      <c r="D20" s="38">
        <f t="shared" si="3"/>
        <v>0</v>
      </c>
      <c r="E20" s="38">
        <f t="shared" si="4"/>
        <v>0</v>
      </c>
      <c r="F20" s="38">
        <f t="shared" si="5"/>
        <v>0</v>
      </c>
      <c r="G20" s="38">
        <f t="shared" si="6"/>
        <v>0</v>
      </c>
      <c r="H20" s="38">
        <f t="shared" si="7"/>
        <v>0</v>
      </c>
      <c r="I20" s="38">
        <f t="shared" si="8"/>
        <v>0</v>
      </c>
    </row>
    <row r="21" spans="1:9">
      <c r="A21" s="45" t="s">
        <v>147</v>
      </c>
      <c r="B21" s="75"/>
      <c r="C21" s="76">
        <f>SUM(C10:C20)</f>
        <v>168.7719298245614</v>
      </c>
      <c r="D21" s="76">
        <f t="shared" ref="D21:I21" si="9">SUM(D10:D20)</f>
        <v>311.57894736842104</v>
      </c>
      <c r="E21" s="76">
        <f t="shared" si="9"/>
        <v>285.61403508771923</v>
      </c>
      <c r="F21" s="76">
        <f t="shared" si="9"/>
        <v>344.03508771929825</v>
      </c>
      <c r="G21" s="76">
        <f t="shared" si="9"/>
        <v>344.03508771929825</v>
      </c>
      <c r="H21" s="76">
        <f t="shared" si="9"/>
        <v>0</v>
      </c>
      <c r="I21" s="76">
        <f t="shared" si="9"/>
        <v>0</v>
      </c>
    </row>
    <row r="22" spans="1:9">
      <c r="A22" s="2" t="s">
        <v>63</v>
      </c>
      <c r="B22" s="77"/>
      <c r="C22" s="78">
        <f>SUM(Staff!N16:N19)</f>
        <v>2681.6716666666666</v>
      </c>
      <c r="D22" s="78">
        <f>SUM(Staff!N23:N26)</f>
        <v>4891.1279166666664</v>
      </c>
      <c r="E22" s="78">
        <f>SUM(Staff!N30:N33)</f>
        <v>3465.0543750000002</v>
      </c>
      <c r="F22" s="78">
        <f>SUM(Staff!N37:N40)</f>
        <v>1618.34175</v>
      </c>
      <c r="G22" s="78">
        <f>SUM(Staff!N44:N47)</f>
        <v>539.44724999999994</v>
      </c>
      <c r="H22" s="78">
        <f>SUM(Staff!N51:N54)</f>
        <v>0</v>
      </c>
      <c r="I22" s="78">
        <f>SUM(Staff!N58:N61)</f>
        <v>0</v>
      </c>
    </row>
    <row r="23" spans="1:9">
      <c r="A23" s="79" t="s">
        <v>71</v>
      </c>
      <c r="B23" s="75"/>
      <c r="C23" s="74">
        <v>0</v>
      </c>
      <c r="D23" s="74">
        <v>0</v>
      </c>
      <c r="E23" s="74">
        <v>0</v>
      </c>
      <c r="F23" s="74">
        <v>0</v>
      </c>
      <c r="G23" s="74">
        <v>0</v>
      </c>
      <c r="H23" s="74">
        <v>0</v>
      </c>
      <c r="I23" s="74">
        <v>0</v>
      </c>
    </row>
    <row r="24" spans="1:9">
      <c r="A24" s="79" t="s">
        <v>72</v>
      </c>
      <c r="B24" s="80"/>
      <c r="C24" s="74">
        <v>0</v>
      </c>
      <c r="D24" s="74">
        <v>0</v>
      </c>
      <c r="E24" s="74">
        <v>0</v>
      </c>
      <c r="F24" s="74">
        <v>0</v>
      </c>
      <c r="G24" s="74">
        <v>0</v>
      </c>
      <c r="H24" s="74">
        <v>0</v>
      </c>
      <c r="I24" s="74">
        <v>0</v>
      </c>
    </row>
    <row r="25" spans="1:9" s="45" customFormat="1">
      <c r="A25" s="81" t="s">
        <v>69</v>
      </c>
      <c r="B25" s="82"/>
      <c r="C25" s="83">
        <f>SUM(C21:C24)</f>
        <v>2850.4435964912282</v>
      </c>
      <c r="D25" s="83">
        <f t="shared" ref="D25:G25" si="10">SUM(D21:D24)</f>
        <v>5202.7068640350872</v>
      </c>
      <c r="E25" s="83">
        <f t="shared" si="10"/>
        <v>3750.6684100877192</v>
      </c>
      <c r="F25" s="83">
        <f t="shared" si="10"/>
        <v>1962.3768377192982</v>
      </c>
      <c r="G25" s="83">
        <f t="shared" si="10"/>
        <v>883.48233771929813</v>
      </c>
      <c r="H25" s="83">
        <f>SUM(H10:H24)</f>
        <v>0</v>
      </c>
      <c r="I25" s="83">
        <f>SUM(I10:I24)</f>
        <v>0</v>
      </c>
    </row>
    <row r="26" spans="1:9">
      <c r="A26" s="62" t="s">
        <v>110</v>
      </c>
      <c r="B26" s="62"/>
      <c r="C26" s="63"/>
      <c r="D26" s="63"/>
      <c r="E26" s="63"/>
    </row>
    <row r="27" spans="1:9" s="50" customFormat="1">
      <c r="A27" s="84" t="s">
        <v>73</v>
      </c>
      <c r="B27" s="84"/>
      <c r="C27" s="84"/>
      <c r="D27" s="63"/>
      <c r="E27" s="63"/>
      <c r="F27" s="2"/>
      <c r="G27" s="2"/>
      <c r="H27" s="2"/>
      <c r="I27" s="2"/>
    </row>
    <row r="28" spans="1:9">
      <c r="A28" s="84" t="s">
        <v>144</v>
      </c>
      <c r="B28" s="63"/>
      <c r="C28" s="63"/>
      <c r="D28" s="63"/>
      <c r="E28" s="63"/>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C83C5-5E5A-4342-A623-A611C787132C}">
  <sheetPr>
    <tabColor rgb="FF92D050"/>
  </sheetPr>
  <dimension ref="A1:N39"/>
  <sheetViews>
    <sheetView topLeftCell="A49" workbookViewId="0">
      <selection activeCell="A31" sqref="A1:A1048576"/>
    </sheetView>
  </sheetViews>
  <sheetFormatPr defaultRowHeight="17.5"/>
  <cols>
    <col min="1" max="1" width="25.453125" style="2" customWidth="1"/>
    <col min="2" max="2" width="16.453125" style="2" customWidth="1"/>
    <col min="3" max="3" width="12.81640625" style="97" bestFit="1" customWidth="1"/>
    <col min="4" max="4" width="11.6328125" style="2" customWidth="1"/>
    <col min="5" max="5" width="12.81640625" style="2" customWidth="1"/>
    <col min="6" max="6" width="11.6328125" style="2" customWidth="1"/>
    <col min="7" max="7" width="10.08984375" style="2" bestFit="1" customWidth="1"/>
    <col min="8" max="8" width="11.6328125" style="2" customWidth="1"/>
    <col min="9" max="9" width="10.08984375" style="2" bestFit="1" customWidth="1"/>
    <col min="10" max="10" width="11.6328125" style="2" customWidth="1"/>
    <col min="11" max="11" width="9.6328125" style="2" bestFit="1" customWidth="1"/>
    <col min="12" max="12" width="11.6328125" style="2" customWidth="1"/>
    <col min="13" max="13" width="11.54296875" style="2" bestFit="1" customWidth="1"/>
    <col min="14" max="14" width="23.81640625" style="2" customWidth="1"/>
    <col min="15" max="16" width="9.54296875" style="2" bestFit="1" customWidth="1"/>
    <col min="17" max="17" width="7.54296875" style="2" bestFit="1" customWidth="1"/>
    <col min="18" max="18" width="9.54296875" style="2" bestFit="1" customWidth="1"/>
    <col min="19" max="19" width="7.54296875" style="2" bestFit="1" customWidth="1"/>
    <col min="20" max="20" width="9.54296875" style="2" bestFit="1" customWidth="1"/>
    <col min="21" max="21" width="7.54296875" style="2" bestFit="1" customWidth="1"/>
    <col min="22" max="22" width="9.54296875" style="2" bestFit="1" customWidth="1"/>
    <col min="23" max="16384" width="8.7265625" style="2"/>
  </cols>
  <sheetData>
    <row r="1" spans="1:12">
      <c r="A1" s="15" t="s">
        <v>86</v>
      </c>
      <c r="B1" s="16" t="s">
        <v>87</v>
      </c>
      <c r="C1" s="85" t="s">
        <v>88</v>
      </c>
      <c r="D1" s="18" t="s">
        <v>89</v>
      </c>
      <c r="E1" s="19"/>
      <c r="F1" s="20"/>
    </row>
    <row r="3" spans="1:12">
      <c r="C3" s="86">
        <v>5</v>
      </c>
      <c r="D3" s="86" t="s">
        <v>115</v>
      </c>
      <c r="E3" s="86">
        <v>4</v>
      </c>
      <c r="F3" s="86" t="s">
        <v>115</v>
      </c>
      <c r="G3" s="86">
        <v>3</v>
      </c>
      <c r="H3" s="86" t="s">
        <v>115</v>
      </c>
      <c r="I3" s="86">
        <v>2</v>
      </c>
      <c r="J3" s="86" t="s">
        <v>115</v>
      </c>
      <c r="K3" s="86">
        <v>1</v>
      </c>
      <c r="L3" s="86" t="s">
        <v>116</v>
      </c>
    </row>
    <row r="4" spans="1:12" ht="35">
      <c r="B4" s="87" t="s">
        <v>122</v>
      </c>
      <c r="C4" s="88" t="s">
        <v>79</v>
      </c>
      <c r="D4" s="88" t="s">
        <v>80</v>
      </c>
      <c r="E4" s="88" t="s">
        <v>79</v>
      </c>
      <c r="F4" s="88" t="s">
        <v>80</v>
      </c>
      <c r="G4" s="88" t="s">
        <v>79</v>
      </c>
      <c r="H4" s="88" t="s">
        <v>80</v>
      </c>
      <c r="I4" s="88" t="s">
        <v>79</v>
      </c>
      <c r="J4" s="88" t="s">
        <v>80</v>
      </c>
      <c r="K4" s="88" t="s">
        <v>79</v>
      </c>
      <c r="L4" s="88" t="s">
        <v>80</v>
      </c>
    </row>
    <row r="5" spans="1:12">
      <c r="A5" s="89" t="str">
        <f>Staff!A15</f>
        <v>Infant Room</v>
      </c>
      <c r="B5" s="90">
        <v>8</v>
      </c>
      <c r="C5" s="74">
        <v>175</v>
      </c>
      <c r="D5" s="91">
        <v>3</v>
      </c>
      <c r="E5" s="74">
        <v>152</v>
      </c>
      <c r="F5" s="91">
        <v>1</v>
      </c>
      <c r="G5" s="74">
        <v>129</v>
      </c>
      <c r="H5" s="91">
        <v>1</v>
      </c>
      <c r="I5" s="74">
        <v>106</v>
      </c>
      <c r="J5" s="91">
        <v>2</v>
      </c>
      <c r="K5" s="74">
        <v>83</v>
      </c>
      <c r="L5" s="91">
        <v>0</v>
      </c>
    </row>
    <row r="6" spans="1:12">
      <c r="A6" s="89" t="str">
        <f>Staff!A22</f>
        <v>Toddler Room</v>
      </c>
      <c r="B6" s="90">
        <v>10</v>
      </c>
      <c r="C6" s="74">
        <v>165</v>
      </c>
      <c r="D6" s="91">
        <v>6</v>
      </c>
      <c r="E6" s="74">
        <v>143</v>
      </c>
      <c r="F6" s="91">
        <v>2</v>
      </c>
      <c r="G6" s="74">
        <v>121</v>
      </c>
      <c r="H6" s="91">
        <v>2</v>
      </c>
      <c r="I6" s="74">
        <v>99</v>
      </c>
      <c r="J6" s="91">
        <v>2</v>
      </c>
      <c r="K6" s="74">
        <v>77</v>
      </c>
      <c r="L6" s="91">
        <v>0</v>
      </c>
    </row>
    <row r="7" spans="1:12">
      <c r="A7" s="89" t="str">
        <f>Staff!A29</f>
        <v>Preschool Room</v>
      </c>
      <c r="B7" s="90">
        <v>10</v>
      </c>
      <c r="C7" s="74">
        <v>160</v>
      </c>
      <c r="D7" s="91">
        <v>3</v>
      </c>
      <c r="E7" s="74">
        <v>138</v>
      </c>
      <c r="F7" s="91">
        <v>5</v>
      </c>
      <c r="G7" s="74">
        <v>116</v>
      </c>
      <c r="H7" s="91">
        <v>3</v>
      </c>
      <c r="I7" s="74">
        <v>94</v>
      </c>
      <c r="J7" s="91">
        <v>0</v>
      </c>
      <c r="K7" s="74">
        <v>72</v>
      </c>
      <c r="L7" s="91">
        <v>0</v>
      </c>
    </row>
    <row r="8" spans="1:12">
      <c r="A8" s="89" t="str">
        <f>Staff!A36</f>
        <v>Before/After School</v>
      </c>
      <c r="B8" s="90">
        <v>12</v>
      </c>
      <c r="C8" s="74">
        <v>125</v>
      </c>
      <c r="D8" s="91">
        <v>5</v>
      </c>
      <c r="E8" s="74">
        <v>105</v>
      </c>
      <c r="F8" s="91">
        <v>3</v>
      </c>
      <c r="G8" s="74">
        <v>85</v>
      </c>
      <c r="H8" s="91">
        <v>4</v>
      </c>
      <c r="I8" s="74">
        <v>65</v>
      </c>
      <c r="J8" s="91">
        <v>2</v>
      </c>
      <c r="K8" s="74">
        <v>45</v>
      </c>
      <c r="L8" s="91">
        <v>0</v>
      </c>
    </row>
    <row r="9" spans="1:12">
      <c r="A9" s="89" t="str">
        <f>Staff!A43</f>
        <v>Summer School</v>
      </c>
      <c r="B9" s="90">
        <v>12</v>
      </c>
      <c r="C9" s="74">
        <v>160</v>
      </c>
      <c r="D9" s="91">
        <v>5</v>
      </c>
      <c r="E9" s="74">
        <v>138</v>
      </c>
      <c r="F9" s="91">
        <v>3</v>
      </c>
      <c r="G9" s="74">
        <v>116</v>
      </c>
      <c r="H9" s="91">
        <v>4</v>
      </c>
      <c r="I9" s="74">
        <v>94</v>
      </c>
      <c r="J9" s="91">
        <v>2</v>
      </c>
      <c r="K9" s="74">
        <v>72</v>
      </c>
      <c r="L9" s="91">
        <v>0</v>
      </c>
    </row>
    <row r="10" spans="1:12">
      <c r="A10" s="89" t="str">
        <f>Staff!A50</f>
        <v>Other Room/Group</v>
      </c>
      <c r="B10" s="90">
        <f>'Direct Costs By Group'!H6</f>
        <v>0</v>
      </c>
      <c r="C10" s="74">
        <v>0</v>
      </c>
      <c r="D10" s="91">
        <v>0</v>
      </c>
      <c r="E10" s="74">
        <v>0</v>
      </c>
      <c r="F10" s="91">
        <v>0</v>
      </c>
      <c r="G10" s="74">
        <v>0</v>
      </c>
      <c r="H10" s="91">
        <v>0</v>
      </c>
      <c r="I10" s="74">
        <v>0</v>
      </c>
      <c r="J10" s="91">
        <v>0</v>
      </c>
      <c r="K10" s="74">
        <v>0</v>
      </c>
      <c r="L10" s="91">
        <v>0</v>
      </c>
    </row>
    <row r="11" spans="1:12">
      <c r="A11" s="89" t="str">
        <f>Staff!A57</f>
        <v>Other Room/Group</v>
      </c>
      <c r="B11" s="90">
        <f>'Direct Costs By Group'!I6</f>
        <v>0</v>
      </c>
      <c r="C11" s="74">
        <v>0</v>
      </c>
      <c r="D11" s="91">
        <v>0</v>
      </c>
      <c r="E11" s="74">
        <v>0</v>
      </c>
      <c r="F11" s="91">
        <v>0</v>
      </c>
      <c r="G11" s="74">
        <v>0</v>
      </c>
      <c r="H11" s="91">
        <v>0</v>
      </c>
      <c r="I11" s="74">
        <v>0</v>
      </c>
      <c r="J11" s="91">
        <v>0</v>
      </c>
      <c r="K11" s="74">
        <v>0</v>
      </c>
      <c r="L11" s="91">
        <v>0</v>
      </c>
    </row>
    <row r="12" spans="1:12">
      <c r="A12" s="92" t="s">
        <v>81</v>
      </c>
      <c r="B12" s="93">
        <f>SUM(B5:B11)-B9</f>
        <v>40</v>
      </c>
      <c r="C12" s="77"/>
      <c r="D12" s="93">
        <f>SUM(D5:D11)-D9</f>
        <v>17</v>
      </c>
      <c r="E12" s="94"/>
      <c r="F12" s="93">
        <f>SUM(F5:F11)-F9</f>
        <v>11</v>
      </c>
      <c r="G12" s="94"/>
      <c r="H12" s="93">
        <f>SUM(H5:H11)-H9</f>
        <v>10</v>
      </c>
      <c r="I12" s="94"/>
      <c r="J12" s="93">
        <f>SUM(J5:J11)-J9</f>
        <v>6</v>
      </c>
      <c r="K12" s="94"/>
      <c r="L12" s="93">
        <f>SUM(L5:L11)-L9</f>
        <v>0</v>
      </c>
    </row>
    <row r="13" spans="1:12">
      <c r="A13" s="50" t="s">
        <v>113</v>
      </c>
      <c r="C13" s="2"/>
    </row>
    <row r="14" spans="1:12">
      <c r="A14" s="50"/>
      <c r="C14" s="86">
        <v>5</v>
      </c>
      <c r="D14" s="86" t="s">
        <v>84</v>
      </c>
      <c r="E14" s="86">
        <v>4</v>
      </c>
      <c r="F14" s="86" t="s">
        <v>84</v>
      </c>
      <c r="G14" s="86">
        <v>3</v>
      </c>
      <c r="H14" s="86" t="s">
        <v>84</v>
      </c>
      <c r="I14" s="86">
        <v>2</v>
      </c>
      <c r="J14" s="86" t="s">
        <v>84</v>
      </c>
      <c r="K14" s="86">
        <v>1</v>
      </c>
      <c r="L14" s="86" t="s">
        <v>85</v>
      </c>
    </row>
    <row r="15" spans="1:12">
      <c r="A15" s="50"/>
      <c r="C15" s="88" t="s">
        <v>79</v>
      </c>
      <c r="D15" s="88" t="s">
        <v>80</v>
      </c>
      <c r="E15" s="88" t="s">
        <v>79</v>
      </c>
      <c r="F15" s="88" t="s">
        <v>80</v>
      </c>
      <c r="G15" s="88" t="s">
        <v>79</v>
      </c>
      <c r="H15" s="88" t="s">
        <v>80</v>
      </c>
      <c r="I15" s="88" t="s">
        <v>79</v>
      </c>
      <c r="J15" s="88" t="s">
        <v>80</v>
      </c>
      <c r="K15" s="88" t="s">
        <v>79</v>
      </c>
      <c r="L15" s="88" t="s">
        <v>80</v>
      </c>
    </row>
    <row r="16" spans="1:12">
      <c r="A16" s="51" t="str">
        <f t="shared" ref="A16:A22" si="0">A5</f>
        <v>Infant Room</v>
      </c>
      <c r="B16" s="64"/>
      <c r="C16" s="95">
        <v>0</v>
      </c>
      <c r="D16" s="91">
        <v>0</v>
      </c>
      <c r="E16" s="95">
        <v>0</v>
      </c>
      <c r="F16" s="91">
        <v>0</v>
      </c>
      <c r="G16" s="95">
        <v>0</v>
      </c>
      <c r="H16" s="91">
        <v>0</v>
      </c>
      <c r="I16" s="95">
        <v>0</v>
      </c>
      <c r="J16" s="91">
        <v>0</v>
      </c>
      <c r="K16" s="95">
        <v>0</v>
      </c>
      <c r="L16" s="91">
        <v>0</v>
      </c>
    </row>
    <row r="17" spans="1:14">
      <c r="A17" s="51" t="str">
        <f t="shared" si="0"/>
        <v>Toddler Room</v>
      </c>
      <c r="B17" s="64"/>
      <c r="C17" s="95">
        <v>0</v>
      </c>
      <c r="D17" s="91">
        <v>0</v>
      </c>
      <c r="E17" s="95">
        <v>0</v>
      </c>
      <c r="F17" s="91">
        <v>0</v>
      </c>
      <c r="G17" s="95">
        <v>0</v>
      </c>
      <c r="H17" s="91">
        <v>0</v>
      </c>
      <c r="I17" s="95">
        <v>0</v>
      </c>
      <c r="J17" s="91">
        <v>0</v>
      </c>
      <c r="K17" s="95">
        <v>0</v>
      </c>
      <c r="L17" s="91">
        <v>0</v>
      </c>
    </row>
    <row r="18" spans="1:14">
      <c r="A18" s="51" t="str">
        <f t="shared" si="0"/>
        <v>Preschool Room</v>
      </c>
      <c r="B18" s="64"/>
      <c r="C18" s="95">
        <v>0</v>
      </c>
      <c r="D18" s="91">
        <v>0</v>
      </c>
      <c r="E18" s="95">
        <v>0</v>
      </c>
      <c r="F18" s="91">
        <v>0</v>
      </c>
      <c r="G18" s="95">
        <v>0</v>
      </c>
      <c r="H18" s="91">
        <v>0</v>
      </c>
      <c r="I18" s="95">
        <v>0</v>
      </c>
      <c r="J18" s="91">
        <v>0</v>
      </c>
      <c r="K18" s="95">
        <v>0</v>
      </c>
      <c r="L18" s="91">
        <v>0</v>
      </c>
    </row>
    <row r="19" spans="1:14">
      <c r="A19" s="51" t="str">
        <f t="shared" si="0"/>
        <v>Before/After School</v>
      </c>
      <c r="B19" s="64"/>
      <c r="C19" s="95">
        <v>0</v>
      </c>
      <c r="D19" s="91">
        <v>0</v>
      </c>
      <c r="E19" s="95">
        <v>0</v>
      </c>
      <c r="F19" s="91">
        <v>0</v>
      </c>
      <c r="G19" s="95">
        <v>0</v>
      </c>
      <c r="H19" s="91">
        <v>0</v>
      </c>
      <c r="I19" s="95">
        <v>0</v>
      </c>
      <c r="J19" s="91">
        <v>0</v>
      </c>
      <c r="K19" s="95">
        <v>0</v>
      </c>
      <c r="L19" s="91">
        <v>0</v>
      </c>
    </row>
    <row r="20" spans="1:14">
      <c r="A20" s="51" t="str">
        <f t="shared" si="0"/>
        <v>Summer School</v>
      </c>
      <c r="B20" s="64"/>
      <c r="C20" s="95">
        <v>0</v>
      </c>
      <c r="D20" s="91">
        <v>0</v>
      </c>
      <c r="E20" s="95">
        <v>0</v>
      </c>
      <c r="F20" s="91">
        <v>0</v>
      </c>
      <c r="G20" s="95">
        <v>0</v>
      </c>
      <c r="H20" s="91">
        <v>0</v>
      </c>
      <c r="I20" s="95">
        <v>0</v>
      </c>
      <c r="J20" s="91">
        <v>0</v>
      </c>
      <c r="K20" s="95">
        <v>0</v>
      </c>
      <c r="L20" s="91">
        <v>0</v>
      </c>
    </row>
    <row r="21" spans="1:14">
      <c r="A21" s="51" t="str">
        <f t="shared" si="0"/>
        <v>Other Room/Group</v>
      </c>
      <c r="B21" s="64"/>
      <c r="C21" s="95">
        <v>0</v>
      </c>
      <c r="D21" s="91">
        <v>0</v>
      </c>
      <c r="E21" s="95">
        <v>0</v>
      </c>
      <c r="F21" s="91">
        <v>0</v>
      </c>
      <c r="G21" s="95">
        <v>0</v>
      </c>
      <c r="H21" s="91">
        <v>0</v>
      </c>
      <c r="I21" s="95">
        <v>0</v>
      </c>
      <c r="J21" s="91">
        <v>0</v>
      </c>
      <c r="K21" s="95">
        <v>0</v>
      </c>
      <c r="L21" s="91">
        <v>0</v>
      </c>
    </row>
    <row r="22" spans="1:14">
      <c r="A22" s="51" t="str">
        <f t="shared" si="0"/>
        <v>Other Room/Group</v>
      </c>
      <c r="B22" s="64"/>
      <c r="C22" s="95">
        <v>0</v>
      </c>
      <c r="D22" s="91">
        <v>0</v>
      </c>
      <c r="E22" s="95">
        <v>0</v>
      </c>
      <c r="F22" s="91">
        <v>0</v>
      </c>
      <c r="G22" s="95">
        <v>0</v>
      </c>
      <c r="H22" s="91">
        <v>0</v>
      </c>
      <c r="I22" s="95">
        <v>0</v>
      </c>
      <c r="J22" s="91">
        <v>0</v>
      </c>
      <c r="K22" s="95">
        <v>0</v>
      </c>
      <c r="L22" s="91">
        <v>0</v>
      </c>
    </row>
    <row r="23" spans="1:14">
      <c r="A23" s="92" t="s">
        <v>26</v>
      </c>
      <c r="B23" s="64"/>
      <c r="C23" s="96"/>
      <c r="D23" s="93">
        <f>SUM(D16:D22)-D20</f>
        <v>0</v>
      </c>
      <c r="E23" s="94"/>
      <c r="F23" s="93">
        <f>SUM(F16:F22)-F20</f>
        <v>0</v>
      </c>
      <c r="G23" s="94"/>
      <c r="H23" s="93">
        <f>SUM(H16:H22)-H20</f>
        <v>0</v>
      </c>
      <c r="I23" s="94"/>
      <c r="J23" s="93">
        <f>SUM(J16:J22)-J20</f>
        <v>0</v>
      </c>
      <c r="K23" s="94"/>
      <c r="L23" s="93">
        <f>SUM(L16:L22)-L20</f>
        <v>0</v>
      </c>
    </row>
    <row r="24" spans="1:14">
      <c r="A24" s="50"/>
    </row>
    <row r="25" spans="1:14">
      <c r="A25" s="50"/>
      <c r="H25" s="98" t="s">
        <v>114</v>
      </c>
      <c r="I25" s="99"/>
      <c r="J25" s="99"/>
    </row>
    <row r="26" spans="1:14">
      <c r="G26" s="64"/>
      <c r="H26" s="90">
        <v>5</v>
      </c>
      <c r="I26" s="64"/>
      <c r="J26" s="90">
        <v>10</v>
      </c>
    </row>
    <row r="27" spans="1:14" ht="52.5">
      <c r="A27" s="100"/>
      <c r="B27" s="101" t="s">
        <v>124</v>
      </c>
      <c r="C27" s="87" t="s">
        <v>125</v>
      </c>
      <c r="D27" s="87" t="s">
        <v>153</v>
      </c>
      <c r="E27" s="87" t="s">
        <v>130</v>
      </c>
      <c r="G27" s="87" t="s">
        <v>127</v>
      </c>
      <c r="H27" s="87" t="s">
        <v>154</v>
      </c>
      <c r="I27" s="87" t="s">
        <v>128</v>
      </c>
      <c r="J27" s="87" t="s">
        <v>155</v>
      </c>
      <c r="K27" s="87" t="s">
        <v>129</v>
      </c>
    </row>
    <row r="28" spans="1:14">
      <c r="A28" s="51" t="str">
        <f t="shared" ref="A28:A34" si="1">A5</f>
        <v>Infant Room</v>
      </c>
      <c r="B28" s="102">
        <f t="shared" ref="B28:B34" si="2">(C5*D5)+(E5*F5)+(G5*H5)+(I5*J5)+(K5*L5)+(C16*D16)+(E16*F16)+(G16*H16)+(I16*J16)+(K16*L16)</f>
        <v>1018</v>
      </c>
      <c r="C28" s="103">
        <f>B28*4</f>
        <v>4072</v>
      </c>
      <c r="D28" s="104">
        <f t="shared" ref="D28:D34" si="3">IF(K28=0, 0,B28/K28)</f>
        <v>195.76923076923077</v>
      </c>
      <c r="E28" s="104">
        <f>D28*4</f>
        <v>783.07692307692309</v>
      </c>
      <c r="G28" s="105">
        <f t="shared" ref="G28:G34" si="4">((D5*$C$3)+(F5*$E$3)+(H5*$G$3)+(J5*$I$3)+(L5*$K$3))</f>
        <v>26</v>
      </c>
      <c r="H28" s="105">
        <f>G28/$H$26</f>
        <v>5.2</v>
      </c>
      <c r="I28" s="106">
        <f t="shared" ref="I28:I34" si="5">((D16*$C$3)+(F16*$E$3)+(H16*$G$3)+(J16*$I$3)+(L16*$K$3))</f>
        <v>0</v>
      </c>
      <c r="J28" s="106">
        <f>I28/$J$26</f>
        <v>0</v>
      </c>
      <c r="K28" s="93">
        <f>H28+J28</f>
        <v>5.2</v>
      </c>
      <c r="L28" s="63" t="s">
        <v>145</v>
      </c>
      <c r="M28" s="63"/>
      <c r="N28" s="63"/>
    </row>
    <row r="29" spans="1:14">
      <c r="A29" s="51" t="str">
        <f t="shared" si="1"/>
        <v>Toddler Room</v>
      </c>
      <c r="B29" s="102">
        <f t="shared" si="2"/>
        <v>1716</v>
      </c>
      <c r="C29" s="103">
        <f t="shared" ref="C29:C34" si="6">B29*4</f>
        <v>6864</v>
      </c>
      <c r="D29" s="104">
        <f t="shared" si="3"/>
        <v>178.75</v>
      </c>
      <c r="E29" s="104">
        <f t="shared" ref="E29:E35" si="7">D29*4</f>
        <v>715</v>
      </c>
      <c r="G29" s="106">
        <f t="shared" si="4"/>
        <v>48</v>
      </c>
      <c r="H29" s="106">
        <f t="shared" ref="H29:H34" si="8">G29/$H$26</f>
        <v>9.6</v>
      </c>
      <c r="I29" s="106">
        <f t="shared" si="5"/>
        <v>0</v>
      </c>
      <c r="J29" s="106">
        <f t="shared" ref="J29:J34" si="9">I29/$J$26</f>
        <v>0</v>
      </c>
      <c r="K29" s="93">
        <f t="shared" ref="K29:K34" si="10">H29+J29</f>
        <v>9.6</v>
      </c>
    </row>
    <row r="30" spans="1:14">
      <c r="A30" s="51" t="str">
        <f t="shared" si="1"/>
        <v>Preschool Room</v>
      </c>
      <c r="B30" s="102">
        <f t="shared" si="2"/>
        <v>1518</v>
      </c>
      <c r="C30" s="103">
        <f t="shared" si="6"/>
        <v>6072</v>
      </c>
      <c r="D30" s="104">
        <f t="shared" si="3"/>
        <v>172.5</v>
      </c>
      <c r="E30" s="104">
        <f t="shared" si="7"/>
        <v>690</v>
      </c>
      <c r="G30" s="106">
        <f t="shared" si="4"/>
        <v>44</v>
      </c>
      <c r="H30" s="106">
        <f t="shared" si="8"/>
        <v>8.8000000000000007</v>
      </c>
      <c r="I30" s="106">
        <f t="shared" si="5"/>
        <v>0</v>
      </c>
      <c r="J30" s="106">
        <f t="shared" si="9"/>
        <v>0</v>
      </c>
      <c r="K30" s="93">
        <f t="shared" si="10"/>
        <v>8.8000000000000007</v>
      </c>
    </row>
    <row r="31" spans="1:14">
      <c r="A31" s="51" t="str">
        <f t="shared" si="1"/>
        <v>Before/After School</v>
      </c>
      <c r="B31" s="102">
        <f t="shared" si="2"/>
        <v>1410</v>
      </c>
      <c r="C31" s="103">
        <f t="shared" si="6"/>
        <v>5640</v>
      </c>
      <c r="D31" s="104">
        <f t="shared" si="3"/>
        <v>133.01886792452831</v>
      </c>
      <c r="E31" s="104">
        <f t="shared" si="7"/>
        <v>532.07547169811323</v>
      </c>
      <c r="G31" s="106">
        <f t="shared" si="4"/>
        <v>53</v>
      </c>
      <c r="H31" s="106">
        <f t="shared" si="8"/>
        <v>10.6</v>
      </c>
      <c r="I31" s="106">
        <f t="shared" si="5"/>
        <v>0</v>
      </c>
      <c r="J31" s="106">
        <f t="shared" si="9"/>
        <v>0</v>
      </c>
      <c r="K31" s="93">
        <f t="shared" si="10"/>
        <v>10.6</v>
      </c>
    </row>
    <row r="32" spans="1:14">
      <c r="A32" s="51" t="str">
        <f t="shared" si="1"/>
        <v>Summer School</v>
      </c>
      <c r="B32" s="102">
        <f t="shared" si="2"/>
        <v>1866</v>
      </c>
      <c r="C32" s="103">
        <f t="shared" si="6"/>
        <v>7464</v>
      </c>
      <c r="D32" s="104">
        <f t="shared" si="3"/>
        <v>176.03773584905662</v>
      </c>
      <c r="E32" s="104">
        <f t="shared" si="7"/>
        <v>704.15094339622647</v>
      </c>
      <c r="G32" s="106">
        <f t="shared" si="4"/>
        <v>53</v>
      </c>
      <c r="H32" s="106">
        <f t="shared" si="8"/>
        <v>10.6</v>
      </c>
      <c r="I32" s="106">
        <f t="shared" si="5"/>
        <v>0</v>
      </c>
      <c r="J32" s="106">
        <f t="shared" si="9"/>
        <v>0</v>
      </c>
      <c r="K32" s="93">
        <f t="shared" si="10"/>
        <v>10.6</v>
      </c>
    </row>
    <row r="33" spans="1:11">
      <c r="A33" s="51" t="str">
        <f t="shared" si="1"/>
        <v>Other Room/Group</v>
      </c>
      <c r="B33" s="102">
        <f t="shared" si="2"/>
        <v>0</v>
      </c>
      <c r="C33" s="103">
        <f t="shared" si="6"/>
        <v>0</v>
      </c>
      <c r="D33" s="104">
        <f t="shared" si="3"/>
        <v>0</v>
      </c>
      <c r="E33" s="104">
        <f t="shared" si="7"/>
        <v>0</v>
      </c>
      <c r="G33" s="106">
        <f t="shared" si="4"/>
        <v>0</v>
      </c>
      <c r="H33" s="106">
        <f t="shared" si="8"/>
        <v>0</v>
      </c>
      <c r="I33" s="106">
        <f t="shared" si="5"/>
        <v>0</v>
      </c>
      <c r="J33" s="106">
        <f t="shared" si="9"/>
        <v>0</v>
      </c>
      <c r="K33" s="93">
        <f t="shared" si="10"/>
        <v>0</v>
      </c>
    </row>
    <row r="34" spans="1:11">
      <c r="A34" s="51" t="str">
        <f t="shared" si="1"/>
        <v>Other Room/Group</v>
      </c>
      <c r="B34" s="102">
        <f t="shared" si="2"/>
        <v>0</v>
      </c>
      <c r="C34" s="103">
        <f t="shared" si="6"/>
        <v>0</v>
      </c>
      <c r="D34" s="104">
        <f t="shared" si="3"/>
        <v>0</v>
      </c>
      <c r="E34" s="104">
        <f t="shared" si="7"/>
        <v>0</v>
      </c>
      <c r="G34" s="106">
        <f t="shared" si="4"/>
        <v>0</v>
      </c>
      <c r="H34" s="106">
        <f t="shared" si="8"/>
        <v>0</v>
      </c>
      <c r="I34" s="106">
        <f t="shared" si="5"/>
        <v>0</v>
      </c>
      <c r="J34" s="106">
        <f t="shared" si="9"/>
        <v>0</v>
      </c>
      <c r="K34" s="93">
        <f t="shared" si="10"/>
        <v>0</v>
      </c>
    </row>
    <row r="35" spans="1:11">
      <c r="A35" s="100" t="s">
        <v>82</v>
      </c>
      <c r="B35" s="83">
        <f>SUM(B28:B34)</f>
        <v>7528</v>
      </c>
      <c r="C35" s="107">
        <f>SUM(C28:C34)</f>
        <v>30112</v>
      </c>
      <c r="D35" s="83">
        <f>SUM(D28:D34)</f>
        <v>856.07583454281564</v>
      </c>
      <c r="E35" s="76">
        <f t="shared" si="7"/>
        <v>3424.3033381712626</v>
      </c>
      <c r="G35" s="93">
        <f>SUM(G28:G34)-G32</f>
        <v>171</v>
      </c>
      <c r="H35" s="93">
        <f>SUM(H28:H34)-H32</f>
        <v>34.200000000000003</v>
      </c>
      <c r="I35" s="93">
        <f>SUM(I28:I34)</f>
        <v>0</v>
      </c>
      <c r="J35" s="93">
        <f>SUM(J28:J34)</f>
        <v>0</v>
      </c>
      <c r="K35" s="93">
        <f>SUM(K28:K34)-K32</f>
        <v>34.200000000000003</v>
      </c>
    </row>
    <row r="36" spans="1:11">
      <c r="A36" s="84" t="s">
        <v>131</v>
      </c>
      <c r="B36" s="63"/>
      <c r="C36" s="108"/>
      <c r="D36" s="63"/>
      <c r="E36" s="63"/>
      <c r="F36" s="63"/>
      <c r="G36" s="63"/>
      <c r="H36" s="63"/>
    </row>
    <row r="37" spans="1:11">
      <c r="A37" s="84" t="s">
        <v>126</v>
      </c>
      <c r="B37" s="63"/>
      <c r="C37" s="108"/>
      <c r="D37" s="63"/>
      <c r="E37" s="63"/>
      <c r="F37" s="63"/>
      <c r="G37" s="63"/>
      <c r="H37" s="63"/>
    </row>
    <row r="38" spans="1:11">
      <c r="A38" s="109" t="s">
        <v>152</v>
      </c>
      <c r="B38" s="109"/>
      <c r="C38" s="109"/>
      <c r="D38" s="63"/>
      <c r="E38" s="63"/>
      <c r="F38" s="63"/>
      <c r="G38" s="63"/>
      <c r="H38" s="63"/>
    </row>
    <row r="39" spans="1:11" ht="13" customHeight="1">
      <c r="A39" s="84" t="s">
        <v>113</v>
      </c>
      <c r="B39" s="63"/>
      <c r="C39" s="63"/>
      <c r="D39" s="63"/>
      <c r="E39" s="63"/>
      <c r="F39" s="63"/>
      <c r="G39" s="63"/>
      <c r="H39" s="63"/>
    </row>
  </sheetData>
  <mergeCells count="1">
    <mergeCell ref="H25:J25"/>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85D7A-A2F6-4829-B682-55000777DD5B}">
  <sheetPr>
    <tabColor rgb="FF7030A0"/>
  </sheetPr>
  <dimension ref="A1:P23"/>
  <sheetViews>
    <sheetView tabSelected="1" workbookViewId="0">
      <selection activeCell="H4" sqref="H4"/>
    </sheetView>
  </sheetViews>
  <sheetFormatPr defaultRowHeight="17.5"/>
  <cols>
    <col min="1" max="1" width="21.453125" style="2" customWidth="1"/>
    <col min="2" max="2" width="11.26953125" style="2" customWidth="1"/>
    <col min="3" max="3" width="9.54296875" style="2" bestFit="1" customWidth="1"/>
    <col min="4" max="4" width="10.36328125" style="2" bestFit="1" customWidth="1"/>
    <col min="5" max="5" width="11" style="2" customWidth="1"/>
    <col min="6" max="6" width="10.453125" style="2" bestFit="1" customWidth="1"/>
    <col min="7" max="7" width="10.81640625" style="2" bestFit="1" customWidth="1"/>
    <col min="8" max="8" width="10.1796875" style="2" bestFit="1" customWidth="1"/>
    <col min="9" max="9" width="13.81640625" style="2" customWidth="1"/>
    <col min="10" max="10" width="20.453125" style="2" customWidth="1"/>
    <col min="11" max="12" width="14.90625" style="2" bestFit="1" customWidth="1"/>
    <col min="13" max="13" width="13.7265625" style="2" bestFit="1" customWidth="1"/>
    <col min="14" max="14" width="12.81640625" style="2" customWidth="1"/>
    <col min="15" max="15" width="11.7265625" style="2" customWidth="1"/>
    <col min="16" max="16384" width="8.7265625" style="2"/>
  </cols>
  <sheetData>
    <row r="1" spans="1:16">
      <c r="A1" s="15" t="s">
        <v>86</v>
      </c>
      <c r="B1" s="16" t="s">
        <v>87</v>
      </c>
      <c r="C1" s="16"/>
      <c r="D1" s="17" t="s">
        <v>88</v>
      </c>
      <c r="E1" s="18" t="s">
        <v>89</v>
      </c>
      <c r="F1" s="19"/>
      <c r="G1" s="19"/>
      <c r="H1" s="19"/>
      <c r="K1" s="110" t="s">
        <v>99</v>
      </c>
      <c r="L1" s="110" t="s">
        <v>100</v>
      </c>
    </row>
    <row r="2" spans="1:16">
      <c r="K2" s="111">
        <f>36</f>
        <v>36</v>
      </c>
      <c r="L2" s="111">
        <f>12</f>
        <v>12</v>
      </c>
    </row>
    <row r="3" spans="1:16">
      <c r="B3" s="112"/>
      <c r="C3" s="112"/>
      <c r="E3" s="113"/>
      <c r="H3" s="114"/>
      <c r="I3" s="115" t="s">
        <v>96</v>
      </c>
      <c r="J3" s="116"/>
      <c r="K3" s="117" t="s">
        <v>98</v>
      </c>
      <c r="L3" s="118"/>
      <c r="M3" s="119"/>
      <c r="N3" s="115" t="s">
        <v>97</v>
      </c>
      <c r="O3" s="116"/>
    </row>
    <row r="4" spans="1:16" ht="87.5">
      <c r="A4" s="120" t="s">
        <v>3</v>
      </c>
      <c r="B4" s="32" t="s">
        <v>118</v>
      </c>
      <c r="C4" s="32" t="s">
        <v>119</v>
      </c>
      <c r="D4" s="120" t="s">
        <v>132</v>
      </c>
      <c r="E4" s="120" t="s">
        <v>133</v>
      </c>
      <c r="F4" s="120" t="s">
        <v>134</v>
      </c>
      <c r="G4" s="32" t="s">
        <v>135</v>
      </c>
      <c r="H4" s="121" t="s">
        <v>136</v>
      </c>
      <c r="I4" s="122" t="s">
        <v>93</v>
      </c>
      <c r="J4" s="121" t="s">
        <v>94</v>
      </c>
      <c r="K4" s="32" t="s">
        <v>93</v>
      </c>
      <c r="L4" s="32" t="s">
        <v>94</v>
      </c>
      <c r="M4" s="121" t="s">
        <v>95</v>
      </c>
      <c r="N4" s="122" t="s">
        <v>90</v>
      </c>
      <c r="O4" s="121" t="s">
        <v>83</v>
      </c>
    </row>
    <row r="5" spans="1:16">
      <c r="A5" s="123" t="str">
        <f>Tuition!A5</f>
        <v>Infant Room</v>
      </c>
      <c r="B5" s="105">
        <f>Tuition!K28</f>
        <v>5.2</v>
      </c>
      <c r="C5" s="105">
        <v>8</v>
      </c>
      <c r="D5" s="124">
        <f>('Indirect Costs'!$B$31*'Direct Costs By Group'!C7)/$B5</f>
        <v>284.93825536062377</v>
      </c>
      <c r="E5" s="124">
        <f>'Direct Costs By Group'!C25/Output!B5</f>
        <v>548.16223009446696</v>
      </c>
      <c r="F5" s="104">
        <f>SUM(D5:E5)</f>
        <v>833.10048545509073</v>
      </c>
      <c r="G5" s="124">
        <f>Tuition!E28</f>
        <v>783.07692307692309</v>
      </c>
      <c r="H5" s="125">
        <f>G5-F5</f>
        <v>-50.02356237816764</v>
      </c>
      <c r="I5" s="126">
        <f>F5*B5</f>
        <v>4332.1225243664721</v>
      </c>
      <c r="J5" s="127">
        <f>Tuition!C28</f>
        <v>4072</v>
      </c>
      <c r="K5" s="128">
        <f t="shared" ref="K5:L7" si="0">I5*12</f>
        <v>51985.470292397666</v>
      </c>
      <c r="L5" s="102">
        <f t="shared" si="0"/>
        <v>48864</v>
      </c>
      <c r="M5" s="129">
        <f>L5-K5</f>
        <v>-3121.4702923976656</v>
      </c>
      <c r="N5" s="130">
        <f>I5/G5</f>
        <v>5.5321800409395028</v>
      </c>
      <c r="O5" s="131">
        <f>IF(Tuition!B5=0,0,Tuition!K28/Tuition!B5)</f>
        <v>0.65</v>
      </c>
    </row>
    <row r="6" spans="1:16">
      <c r="A6" s="123" t="str">
        <f>Tuition!A6</f>
        <v>Toddler Room</v>
      </c>
      <c r="B6" s="132">
        <f>Tuition!K29</f>
        <v>9.6</v>
      </c>
      <c r="C6" s="132">
        <v>10</v>
      </c>
      <c r="D6" s="124">
        <f>('Indirect Costs'!$B$31*'Direct Costs By Group'!D7)/$B6</f>
        <v>284.93825536062377</v>
      </c>
      <c r="E6" s="124">
        <f>'Direct Costs By Group'!D25/Output!B6</f>
        <v>541.94863167032156</v>
      </c>
      <c r="F6" s="104">
        <f t="shared" ref="F6:F11" si="1">SUM(D6:E6)</f>
        <v>826.88688703094533</v>
      </c>
      <c r="G6" s="124">
        <f>Tuition!E29</f>
        <v>715</v>
      </c>
      <c r="H6" s="125">
        <f t="shared" ref="H6:H11" si="2">G6-F6</f>
        <v>-111.88688703094533</v>
      </c>
      <c r="I6" s="126">
        <f t="shared" ref="I6:I11" si="3">F6*B6</f>
        <v>7938.1141154970746</v>
      </c>
      <c r="J6" s="127">
        <f>Tuition!C29</f>
        <v>6864</v>
      </c>
      <c r="K6" s="128">
        <f t="shared" si="0"/>
        <v>95257.369385964892</v>
      </c>
      <c r="L6" s="102">
        <f t="shared" si="0"/>
        <v>82368</v>
      </c>
      <c r="M6" s="129">
        <f t="shared" ref="M6:M11" si="4">L6-K6</f>
        <v>-12889.369385964892</v>
      </c>
      <c r="N6" s="130">
        <f>I6/G6</f>
        <v>11.102257504191712</v>
      </c>
      <c r="O6" s="133">
        <f>IF(Tuition!B6=0,0,Tuition!K29/Tuition!B6)</f>
        <v>0.96</v>
      </c>
    </row>
    <row r="7" spans="1:16">
      <c r="A7" s="123" t="str">
        <f>Tuition!A7</f>
        <v>Preschool Room</v>
      </c>
      <c r="B7" s="132">
        <f>Tuition!K30</f>
        <v>8.8000000000000007</v>
      </c>
      <c r="C7" s="132">
        <v>10</v>
      </c>
      <c r="D7" s="124">
        <f>('Indirect Costs'!$B$31*'Direct Costs By Group'!E7)/$B7</f>
        <v>284.93825536062371</v>
      </c>
      <c r="E7" s="124">
        <f>'Direct Costs By Group'!E25/Output!B7</f>
        <v>426.21231932814987</v>
      </c>
      <c r="F7" s="104">
        <f t="shared" si="1"/>
        <v>711.15057468877353</v>
      </c>
      <c r="G7" s="124">
        <f>Tuition!E30</f>
        <v>690</v>
      </c>
      <c r="H7" s="125">
        <f t="shared" si="2"/>
        <v>-21.150574688773531</v>
      </c>
      <c r="I7" s="126">
        <f t="shared" si="3"/>
        <v>6258.125057261208</v>
      </c>
      <c r="J7" s="127">
        <f>Tuition!C30</f>
        <v>6072</v>
      </c>
      <c r="K7" s="128">
        <f t="shared" si="0"/>
        <v>75097.500687134496</v>
      </c>
      <c r="L7" s="102">
        <f t="shared" si="0"/>
        <v>72864</v>
      </c>
      <c r="M7" s="129">
        <f t="shared" si="4"/>
        <v>-2233.5006871344958</v>
      </c>
      <c r="N7" s="134">
        <f>I7/G7</f>
        <v>9.0697464597988517</v>
      </c>
      <c r="O7" s="133">
        <f>IF(Tuition!B7=0,0,Tuition!K30/Tuition!B7)</f>
        <v>0.88000000000000012</v>
      </c>
    </row>
    <row r="8" spans="1:16">
      <c r="A8" s="123" t="str">
        <f>Tuition!A8</f>
        <v>Before/After School</v>
      </c>
      <c r="B8" s="132">
        <f>Tuition!K31</f>
        <v>10.6</v>
      </c>
      <c r="C8" s="132">
        <v>12</v>
      </c>
      <c r="D8" s="124">
        <f>('Indirect Costs'!$B$31*'Direct Costs By Group'!F7)/$B8</f>
        <v>284.93825536062377</v>
      </c>
      <c r="E8" s="124">
        <f>'Direct Costs By Group'!F25/Output!B8</f>
        <v>185.12989035087719</v>
      </c>
      <c r="F8" s="104">
        <f t="shared" si="1"/>
        <v>470.06814571150096</v>
      </c>
      <c r="G8" s="124">
        <f>Tuition!E31</f>
        <v>532.07547169811323</v>
      </c>
      <c r="H8" s="125">
        <f t="shared" si="2"/>
        <v>62.007325986612273</v>
      </c>
      <c r="I8" s="126">
        <f t="shared" si="3"/>
        <v>4982.7223445419104</v>
      </c>
      <c r="J8" s="127">
        <f>Tuition!C31</f>
        <v>5640</v>
      </c>
      <c r="K8" s="128">
        <f>I8*(K2/4)</f>
        <v>44844.501100877191</v>
      </c>
      <c r="L8" s="102">
        <f>J8*(K2/4)</f>
        <v>50760</v>
      </c>
      <c r="M8" s="129">
        <f t="shared" si="4"/>
        <v>5915.4988991228092</v>
      </c>
      <c r="N8" s="134">
        <f>I8/G8</f>
        <v>9.3646909312312498</v>
      </c>
      <c r="O8" s="133">
        <f>IF(Tuition!B8=0,0,Tuition!K31/Tuition!B8)</f>
        <v>0.8833333333333333</v>
      </c>
    </row>
    <row r="9" spans="1:16">
      <c r="A9" s="123" t="str">
        <f>Tuition!A9</f>
        <v>Summer School</v>
      </c>
      <c r="B9" s="132">
        <f>Tuition!K32</f>
        <v>10.6</v>
      </c>
      <c r="C9" s="132">
        <v>12</v>
      </c>
      <c r="D9" s="124">
        <f>('Indirect Costs'!$B$31*'Direct Costs By Group'!G7)/$B9</f>
        <v>284.93825536062377</v>
      </c>
      <c r="E9" s="124">
        <f>'Direct Costs By Group'!G25/Output!B9</f>
        <v>83.347390350877191</v>
      </c>
      <c r="F9" s="104">
        <f t="shared" si="1"/>
        <v>368.28564571150093</v>
      </c>
      <c r="G9" s="124">
        <f>Tuition!E32</f>
        <v>704.15094339622647</v>
      </c>
      <c r="H9" s="125">
        <f t="shared" si="2"/>
        <v>335.86529768472553</v>
      </c>
      <c r="I9" s="126">
        <f t="shared" si="3"/>
        <v>3903.8278445419096</v>
      </c>
      <c r="J9" s="127">
        <f>Tuition!C32</f>
        <v>7464</v>
      </c>
      <c r="K9" s="128">
        <f>I9*(L2/4)</f>
        <v>11711.483533625729</v>
      </c>
      <c r="L9" s="102">
        <f>J9*(L2/4)</f>
        <v>22392</v>
      </c>
      <c r="M9" s="129">
        <f t="shared" si="4"/>
        <v>10680.516466374271</v>
      </c>
      <c r="N9" s="134">
        <f>I9/G9</f>
        <v>5.5440213226345447</v>
      </c>
      <c r="O9" s="133">
        <f>IF(Tuition!B9=0,0,Tuition!K32/Tuition!B9)</f>
        <v>0.8833333333333333</v>
      </c>
    </row>
    <row r="10" spans="1:16">
      <c r="A10" s="123" t="str">
        <f>Tuition!A10</f>
        <v>Other Room/Group</v>
      </c>
      <c r="B10" s="132">
        <f>Tuition!K33</f>
        <v>0</v>
      </c>
      <c r="C10" s="132">
        <v>0</v>
      </c>
      <c r="D10" s="124">
        <f>IF(B10=0,0,'Indirect Costs'!$B$31*'Direct Costs By Group'!H7)/$B5</f>
        <v>0</v>
      </c>
      <c r="E10" s="89">
        <f>IF(Output!B10=0, 0, 'Direct Costs By Group'!H25/Output!B10)</f>
        <v>0</v>
      </c>
      <c r="F10" s="104">
        <f t="shared" si="1"/>
        <v>0</v>
      </c>
      <c r="G10" s="124">
        <f>Tuition!E33</f>
        <v>0</v>
      </c>
      <c r="H10" s="125">
        <f t="shared" si="2"/>
        <v>0</v>
      </c>
      <c r="I10" s="126">
        <f t="shared" si="3"/>
        <v>0</v>
      </c>
      <c r="J10" s="127">
        <f>Tuition!C33</f>
        <v>0</v>
      </c>
      <c r="K10" s="128">
        <f>I10*12</f>
        <v>0</v>
      </c>
      <c r="L10" s="102">
        <f>J10*12</f>
        <v>0</v>
      </c>
      <c r="M10" s="129">
        <f t="shared" si="4"/>
        <v>0</v>
      </c>
      <c r="N10" s="134">
        <f>IF(G10=0,0,I10/G10)</f>
        <v>0</v>
      </c>
      <c r="O10" s="133">
        <f>IF(Tuition!B10=0,0,Tuition!K33/Tuition!B10)</f>
        <v>0</v>
      </c>
    </row>
    <row r="11" spans="1:16">
      <c r="A11" s="123" t="str">
        <f>Tuition!A11</f>
        <v>Other Room/Group</v>
      </c>
      <c r="B11" s="132">
        <f>Tuition!K34</f>
        <v>0</v>
      </c>
      <c r="C11" s="132">
        <v>0</v>
      </c>
      <c r="D11" s="124">
        <f>IF(B11=0,0,'Indirect Costs'!$B$31*'Direct Costs By Group'!I7)/$B6</f>
        <v>0</v>
      </c>
      <c r="E11" s="89">
        <f>IF(Output!B11=0, 0, 'Direct Costs By Group'!H26/Output!B11)</f>
        <v>0</v>
      </c>
      <c r="F11" s="104">
        <f t="shared" si="1"/>
        <v>0</v>
      </c>
      <c r="G11" s="124">
        <f>Tuition!E34</f>
        <v>0</v>
      </c>
      <c r="H11" s="125">
        <f t="shared" si="2"/>
        <v>0</v>
      </c>
      <c r="I11" s="126">
        <f t="shared" si="3"/>
        <v>0</v>
      </c>
      <c r="J11" s="127">
        <f>Tuition!C34</f>
        <v>0</v>
      </c>
      <c r="K11" s="128">
        <f>I11*12</f>
        <v>0</v>
      </c>
      <c r="L11" s="102">
        <f>J11*12</f>
        <v>0</v>
      </c>
      <c r="M11" s="129">
        <f t="shared" si="4"/>
        <v>0</v>
      </c>
      <c r="N11" s="134">
        <f>IF(G11=0,0,I11/G11)</f>
        <v>0</v>
      </c>
      <c r="O11" s="133">
        <f>IF(Tuition!B11=0,0,Tuition!K34/Tuition!B11)</f>
        <v>0</v>
      </c>
    </row>
    <row r="12" spans="1:16">
      <c r="A12" s="45" t="s">
        <v>26</v>
      </c>
      <c r="B12" s="93">
        <f>SUM(B5:B11)-B9</f>
        <v>34.200000000000003</v>
      </c>
      <c r="C12" s="93">
        <f>SUM(C5:C11)-C9</f>
        <v>40</v>
      </c>
      <c r="D12" s="64"/>
      <c r="E12" s="64"/>
      <c r="F12" s="64"/>
      <c r="G12" s="64"/>
      <c r="H12" s="135"/>
      <c r="I12" s="136"/>
      <c r="J12" s="137"/>
      <c r="K12" s="138">
        <f>SUM(K5:K11)</f>
        <v>278896.32499999995</v>
      </c>
      <c r="L12" s="139">
        <f>SUM(L5:L11)</f>
        <v>277248</v>
      </c>
      <c r="M12" s="140">
        <f>SUM(M5:M11)</f>
        <v>-1648.3249999999734</v>
      </c>
      <c r="N12" s="141"/>
      <c r="O12" s="142">
        <f>B12/C12</f>
        <v>0.85500000000000009</v>
      </c>
      <c r="P12" s="50"/>
    </row>
    <row r="13" spans="1:16" ht="43.5" customHeight="1">
      <c r="A13" s="143" t="s">
        <v>117</v>
      </c>
      <c r="F13" s="49"/>
      <c r="K13" s="144" t="s">
        <v>148</v>
      </c>
      <c r="L13" s="144"/>
      <c r="M13" s="144"/>
    </row>
    <row r="14" spans="1:16" s="147" customFormat="1" ht="14.5">
      <c r="A14" s="145" t="s">
        <v>156</v>
      </c>
      <c r="B14" s="145"/>
      <c r="C14" s="145"/>
      <c r="D14" s="145"/>
      <c r="E14" s="145"/>
      <c r="F14" s="145"/>
      <c r="G14" s="146"/>
      <c r="H14" s="145"/>
      <c r="I14" s="145"/>
      <c r="J14" s="145"/>
      <c r="K14" s="145"/>
      <c r="L14" s="145"/>
      <c r="M14" s="145"/>
      <c r="N14" s="145"/>
      <c r="O14" s="145"/>
    </row>
    <row r="15" spans="1:16" s="147" customFormat="1" ht="14.5">
      <c r="A15" s="147" t="s">
        <v>157</v>
      </c>
      <c r="G15" s="148"/>
      <c r="H15" s="148"/>
    </row>
    <row r="16" spans="1:16" s="147" customFormat="1" ht="14.5">
      <c r="A16" s="147" t="s">
        <v>158</v>
      </c>
      <c r="G16" s="148"/>
    </row>
    <row r="17" spans="1:8" s="147" customFormat="1" ht="14.5">
      <c r="A17" s="147" t="s">
        <v>159</v>
      </c>
      <c r="G17" s="148"/>
      <c r="H17" s="148"/>
    </row>
    <row r="18" spans="1:8">
      <c r="G18" s="149"/>
    </row>
    <row r="19" spans="1:8">
      <c r="G19" s="149"/>
    </row>
    <row r="20" spans="1:8">
      <c r="G20" s="149"/>
    </row>
    <row r="21" spans="1:8">
      <c r="G21" s="149"/>
    </row>
    <row r="22" spans="1:8">
      <c r="G22" s="149"/>
    </row>
    <row r="23" spans="1:8">
      <c r="G23" s="150"/>
    </row>
  </sheetData>
  <mergeCells count="5">
    <mergeCell ref="K13:M13"/>
    <mergeCell ref="N3:O3"/>
    <mergeCell ref="K3:M3"/>
    <mergeCell ref="I3:J3"/>
    <mergeCell ref="B3:C3"/>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6C02368E21244F8B26DB2D11037375" ma:contentTypeVersion="4" ma:contentTypeDescription="Create a new document." ma:contentTypeScope="" ma:versionID="9212633721059ca630799bcc73847a63">
  <xsd:schema xmlns:xsd="http://www.w3.org/2001/XMLSchema" xmlns:xs="http://www.w3.org/2001/XMLSchema" xmlns:p="http://schemas.microsoft.com/office/2006/metadata/properties" xmlns:ns3="bb6c8e62-4a73-4d6e-b579-2cae37eb84fa" targetNamespace="http://schemas.microsoft.com/office/2006/metadata/properties" ma:root="true" ma:fieldsID="a233a115830942db611f4f5f73721993" ns3:_="">
    <xsd:import namespace="bb6c8e62-4a73-4d6e-b579-2cae37eb84f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6c8e62-4a73-4d6e-b579-2cae37eb84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96CDD9-F1B9-46B2-B831-488DEC4132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6c8e62-4a73-4d6e-b579-2cae37eb84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5EF00B-1910-46DF-BE70-43659B8A4962}">
  <ds:schemaRefs>
    <ds:schemaRef ds:uri="http://schemas.microsoft.com/sharepoint/v3/contenttype/forms"/>
  </ds:schemaRefs>
</ds:datastoreItem>
</file>

<file path=customXml/itemProps3.xml><?xml version="1.0" encoding="utf-8"?>
<ds:datastoreItem xmlns:ds="http://schemas.openxmlformats.org/officeDocument/2006/customXml" ds:itemID="{78B1CD74-85FA-47A7-8706-B0E524FD9057}">
  <ds:schemaRefs>
    <ds:schemaRef ds:uri="http://purl.org/dc/terms/"/>
    <ds:schemaRef ds:uri="http://schemas.openxmlformats.org/package/2006/metadata/core-properties"/>
    <ds:schemaRef ds:uri="http://purl.org/dc/dcmitype/"/>
    <ds:schemaRef ds:uri="http://schemas.microsoft.com/office/infopath/2007/PartnerControls"/>
    <ds:schemaRef ds:uri="bb6c8e62-4a73-4d6e-b579-2cae37eb84fa"/>
    <ds:schemaRef ds:uri="http://purl.org/dc/elements/1.1/"/>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Staff</vt:lpstr>
      <vt:lpstr>Indirect Costs</vt:lpstr>
      <vt:lpstr>Direct Costs By Group</vt:lpstr>
      <vt:lpstr>Tuition</vt:lpstr>
      <vt:lpstr>Output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Votta</dc:creator>
  <cp:lastModifiedBy>Steve Varnum</cp:lastModifiedBy>
  <dcterms:created xsi:type="dcterms:W3CDTF">2021-01-07T15:58:15Z</dcterms:created>
  <dcterms:modified xsi:type="dcterms:W3CDTF">2024-08-14T18:19:19Z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0x010100F06C02368E21244F8B26DB2D11037375</vt:lpwstr>
  </property>
</Properties>
</file>